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olo\Desktop\"/>
    </mc:Choice>
  </mc:AlternateContent>
  <bookViews>
    <workbookView xWindow="0" yWindow="0" windowWidth="20490" windowHeight="7905" firstSheet="2" activeTab="6"/>
  </bookViews>
  <sheets>
    <sheet name="Chart1" sheetId="6" r:id="rId1"/>
    <sheet name="Sheet2" sheetId="8" r:id="rId2"/>
    <sheet name="Equity" sheetId="1" r:id="rId3"/>
    <sheet name="RevenuesYear" sheetId="5" r:id="rId4"/>
    <sheet name="MultTable" sheetId="4" r:id="rId5"/>
    <sheet name="Chart2" sheetId="10" r:id="rId6"/>
    <sheet name="Sheet4" sheetId="11" r:id="rId7"/>
    <sheet name="Sheet3" sheetId="9" r:id="rId8"/>
  </sheets>
  <definedNames>
    <definedName name="_xlnm._FilterDatabase" localSheetId="2" hidden="1">Equity!$A$1:$M$294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1" l="1"/>
  <c r="D10" i="11"/>
  <c r="E7" i="11"/>
  <c r="E6" i="11"/>
  <c r="A7" i="11"/>
  <c r="B5" i="11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2" i="9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" i="4"/>
  <c r="B1" i="5" l="1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P3" i="1"/>
  <c r="P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" i="1"/>
  <c r="I212" i="1" l="1"/>
  <c r="I209" i="1"/>
  <c r="I271" i="1"/>
  <c r="I206" i="1"/>
  <c r="I186" i="1"/>
  <c r="D174" i="1"/>
  <c r="B174" i="1"/>
  <c r="I171" i="1"/>
  <c r="I153" i="1"/>
  <c r="I90" i="1"/>
  <c r="D86" i="1"/>
  <c r="D82" i="1"/>
  <c r="C77" i="1"/>
  <c r="B49" i="1"/>
  <c r="I123" i="1"/>
  <c r="I93" i="1"/>
  <c r="I74" i="1"/>
  <c r="D74" i="1"/>
  <c r="C74" i="1"/>
  <c r="B74" i="1"/>
  <c r="I64" i="1"/>
  <c r="I53" i="1"/>
  <c r="I46" i="1"/>
  <c r="I15" i="1"/>
  <c r="I13" i="1"/>
  <c r="I12" i="1"/>
  <c r="I11" i="1"/>
  <c r="I10" i="1"/>
  <c r="I6" i="1"/>
  <c r="I5" i="1"/>
  <c r="I33" i="1"/>
  <c r="I4" i="1"/>
  <c r="I294" i="1"/>
  <c r="D294" i="1"/>
  <c r="B294" i="1"/>
  <c r="D293" i="1"/>
  <c r="B293" i="1"/>
  <c r="I292" i="1"/>
  <c r="D292" i="1"/>
  <c r="B292" i="1"/>
  <c r="D291" i="1"/>
  <c r="B291" i="1"/>
  <c r="D290" i="1"/>
  <c r="B290" i="1"/>
  <c r="D289" i="1"/>
  <c r="B289" i="1"/>
  <c r="D288" i="1"/>
  <c r="B288" i="1"/>
  <c r="D287" i="1"/>
  <c r="B287" i="1"/>
  <c r="I286" i="1"/>
  <c r="D286" i="1"/>
  <c r="B286" i="1"/>
  <c r="I285" i="1"/>
  <c r="D285" i="1"/>
  <c r="B285" i="1"/>
  <c r="D284" i="1"/>
  <c r="B284" i="1"/>
  <c r="D283" i="1"/>
  <c r="B283" i="1"/>
  <c r="D282" i="1"/>
  <c r="B282" i="1"/>
  <c r="D281" i="1"/>
  <c r="B281" i="1"/>
  <c r="D280" i="1"/>
  <c r="B280" i="1"/>
  <c r="D279" i="1"/>
  <c r="B279" i="1"/>
  <c r="D278" i="1"/>
  <c r="B278" i="1"/>
  <c r="D277" i="1"/>
  <c r="B277" i="1"/>
  <c r="I276" i="1"/>
  <c r="D276" i="1"/>
  <c r="B276" i="1"/>
  <c r="D275" i="1"/>
  <c r="B275" i="1"/>
  <c r="D274" i="1"/>
  <c r="B274" i="1"/>
  <c r="D273" i="1"/>
  <c r="B273" i="1"/>
  <c r="D272" i="1"/>
  <c r="B272" i="1"/>
  <c r="D271" i="1"/>
  <c r="B271" i="1"/>
  <c r="D270" i="1"/>
  <c r="B270" i="1"/>
  <c r="D269" i="1"/>
  <c r="B269" i="1"/>
  <c r="D268" i="1"/>
  <c r="B268" i="1"/>
  <c r="D267" i="1"/>
  <c r="B267" i="1"/>
  <c r="D266" i="1"/>
  <c r="B266" i="1"/>
  <c r="D265" i="1"/>
  <c r="B265" i="1"/>
  <c r="D264" i="1"/>
  <c r="B264" i="1"/>
  <c r="D263" i="1"/>
  <c r="B263" i="1"/>
  <c r="D262" i="1"/>
  <c r="B262" i="1"/>
  <c r="D261" i="1"/>
  <c r="B261" i="1"/>
  <c r="D260" i="1"/>
  <c r="B260" i="1"/>
  <c r="D259" i="1"/>
  <c r="B259" i="1"/>
  <c r="D258" i="1"/>
  <c r="B258" i="1"/>
  <c r="D257" i="1"/>
  <c r="B257" i="1"/>
  <c r="I256" i="1"/>
  <c r="D256" i="1"/>
  <c r="B256" i="1"/>
  <c r="D255" i="1"/>
  <c r="B255" i="1"/>
  <c r="D254" i="1"/>
  <c r="B254" i="1"/>
  <c r="D253" i="1"/>
  <c r="B253" i="1"/>
  <c r="D252" i="1"/>
  <c r="B252" i="1"/>
  <c r="D251" i="1"/>
  <c r="B251" i="1"/>
  <c r="I250" i="1"/>
  <c r="D250" i="1"/>
  <c r="B249" i="1"/>
  <c r="B250" i="1"/>
  <c r="I249" i="1"/>
  <c r="D249" i="1"/>
  <c r="D248" i="1"/>
  <c r="B248" i="1"/>
  <c r="D247" i="1"/>
  <c r="B247" i="1"/>
  <c r="D246" i="1"/>
  <c r="B246" i="1"/>
  <c r="D245" i="1"/>
  <c r="B245" i="1"/>
  <c r="D244" i="1"/>
  <c r="B244" i="1"/>
  <c r="D243" i="1"/>
  <c r="B243" i="1"/>
  <c r="D242" i="1"/>
  <c r="B242" i="1"/>
  <c r="D241" i="1"/>
  <c r="B241" i="1"/>
  <c r="D240" i="1"/>
  <c r="B240" i="1"/>
  <c r="D239" i="1"/>
  <c r="B239" i="1"/>
  <c r="D238" i="1"/>
  <c r="B238" i="1"/>
  <c r="D237" i="1"/>
  <c r="B237" i="1"/>
  <c r="I236" i="1"/>
  <c r="D236" i="1"/>
  <c r="B236" i="1"/>
  <c r="I235" i="1"/>
  <c r="D235" i="1"/>
  <c r="B235" i="1"/>
  <c r="D234" i="1"/>
  <c r="B234" i="1"/>
  <c r="D233" i="1"/>
  <c r="B233" i="1"/>
  <c r="D232" i="1"/>
  <c r="B232" i="1"/>
  <c r="D231" i="1"/>
  <c r="B231" i="1"/>
  <c r="D230" i="1"/>
  <c r="B230" i="1"/>
  <c r="D229" i="1"/>
  <c r="B229" i="1"/>
  <c r="D228" i="1"/>
  <c r="B228" i="1"/>
  <c r="D227" i="1"/>
  <c r="B227" i="1"/>
  <c r="D226" i="1"/>
  <c r="B226" i="1"/>
  <c r="D225" i="1"/>
  <c r="B225" i="1"/>
  <c r="D224" i="1"/>
  <c r="B224" i="1"/>
  <c r="D223" i="1"/>
  <c r="B223" i="1"/>
  <c r="D222" i="1"/>
  <c r="B222" i="1"/>
  <c r="I221" i="1"/>
  <c r="D221" i="1"/>
  <c r="B221" i="1"/>
  <c r="D220" i="1"/>
  <c r="B220" i="1"/>
  <c r="D219" i="1"/>
  <c r="B219" i="1"/>
  <c r="D218" i="1"/>
  <c r="B218" i="1"/>
  <c r="D217" i="1"/>
  <c r="B217" i="1"/>
  <c r="D216" i="1"/>
  <c r="B216" i="1"/>
  <c r="D215" i="1"/>
  <c r="B215" i="1"/>
  <c r="D214" i="1"/>
  <c r="B214" i="1"/>
  <c r="D213" i="1"/>
  <c r="B213" i="1"/>
  <c r="D212" i="1"/>
  <c r="B212" i="1"/>
  <c r="I211" i="1"/>
  <c r="B211" i="1"/>
  <c r="I210" i="1"/>
  <c r="D210" i="1"/>
  <c r="B210" i="1"/>
  <c r="D209" i="1"/>
  <c r="B209" i="1"/>
  <c r="I208" i="1"/>
  <c r="B208" i="1"/>
  <c r="D207" i="1"/>
  <c r="B207" i="1"/>
  <c r="D206" i="1"/>
  <c r="B206" i="1"/>
  <c r="D205" i="1"/>
  <c r="B205" i="1"/>
  <c r="D204" i="1"/>
  <c r="B204" i="1"/>
  <c r="I203" i="1"/>
  <c r="D203" i="1"/>
  <c r="B203" i="1"/>
  <c r="D202" i="1"/>
  <c r="B202" i="1"/>
  <c r="D201" i="1"/>
  <c r="B201" i="1"/>
  <c r="D200" i="1"/>
  <c r="B200" i="1"/>
  <c r="D199" i="1"/>
  <c r="B199" i="1"/>
  <c r="I198" i="1"/>
  <c r="D198" i="1"/>
  <c r="B198" i="1"/>
  <c r="I197" i="1"/>
  <c r="D197" i="1"/>
  <c r="B197" i="1"/>
  <c r="D196" i="1"/>
  <c r="B196" i="1"/>
  <c r="I195" i="1"/>
  <c r="D195" i="1"/>
  <c r="B195" i="1"/>
  <c r="I194" i="1"/>
  <c r="B194" i="1"/>
  <c r="D193" i="1"/>
  <c r="B193" i="1"/>
  <c r="D192" i="1"/>
  <c r="B192" i="1"/>
  <c r="D191" i="1"/>
  <c r="B191" i="1"/>
  <c r="D190" i="1"/>
  <c r="C190" i="1"/>
  <c r="B190" i="1"/>
  <c r="I189" i="1"/>
  <c r="D189" i="1"/>
  <c r="B189" i="1"/>
  <c r="I188" i="1"/>
  <c r="D188" i="1"/>
  <c r="B188" i="1"/>
  <c r="I187" i="1"/>
  <c r="B187" i="1"/>
  <c r="B186" i="1"/>
  <c r="I185" i="1"/>
  <c r="B185" i="1"/>
  <c r="D184" i="1"/>
  <c r="B184" i="1"/>
  <c r="B183" i="1"/>
  <c r="D182" i="1"/>
  <c r="B182" i="1"/>
  <c r="B181" i="1"/>
  <c r="D180" i="1"/>
  <c r="B180" i="1"/>
  <c r="D179" i="1"/>
  <c r="B179" i="1"/>
  <c r="D178" i="1"/>
  <c r="B178" i="1"/>
  <c r="I177" i="1"/>
  <c r="B177" i="1"/>
  <c r="I176" i="1"/>
  <c r="B176" i="1"/>
  <c r="B175" i="1"/>
  <c r="D173" i="1"/>
  <c r="B173" i="1"/>
  <c r="I172" i="1"/>
  <c r="B172" i="1"/>
  <c r="D171" i="1"/>
  <c r="B171" i="1"/>
  <c r="D170" i="1"/>
  <c r="B170" i="1"/>
  <c r="D169" i="1"/>
  <c r="B169" i="1"/>
  <c r="D168" i="1"/>
  <c r="B168" i="1"/>
  <c r="I167" i="1"/>
  <c r="B167" i="1"/>
  <c r="D166" i="1"/>
  <c r="B166" i="1"/>
  <c r="D165" i="1"/>
  <c r="B165" i="1"/>
  <c r="I164" i="1"/>
  <c r="D164" i="1"/>
  <c r="B164" i="1"/>
  <c r="D163" i="1"/>
  <c r="B163" i="1"/>
  <c r="D162" i="1"/>
  <c r="B162" i="1"/>
  <c r="D161" i="1"/>
  <c r="B161" i="1"/>
  <c r="B160" i="1"/>
  <c r="D159" i="1"/>
  <c r="B159" i="1"/>
  <c r="I158" i="1"/>
  <c r="D158" i="1"/>
  <c r="B158" i="1"/>
  <c r="I157" i="1"/>
  <c r="D157" i="1"/>
  <c r="B157" i="1"/>
  <c r="I156" i="1"/>
  <c r="D156" i="1"/>
  <c r="B156" i="1"/>
  <c r="D155" i="1"/>
  <c r="B155" i="1"/>
  <c r="D154" i="1"/>
  <c r="B154" i="1"/>
  <c r="B153" i="1"/>
  <c r="I152" i="1"/>
  <c r="B152" i="1"/>
  <c r="D151" i="1"/>
  <c r="B151" i="1"/>
  <c r="D150" i="1"/>
  <c r="B150" i="1"/>
  <c r="D149" i="1"/>
  <c r="B149" i="1"/>
  <c r="B148" i="1"/>
  <c r="D147" i="1"/>
  <c r="B147" i="1"/>
  <c r="D145" i="1"/>
  <c r="B145" i="1"/>
  <c r="D144" i="1"/>
  <c r="B144" i="1"/>
  <c r="B140" i="1"/>
  <c r="D143" i="1"/>
  <c r="B143" i="1"/>
  <c r="D142" i="1"/>
  <c r="B142" i="1"/>
  <c r="D141" i="1"/>
  <c r="B141" i="1"/>
  <c r="I139" i="1"/>
  <c r="B139" i="1"/>
  <c r="I137" i="1"/>
  <c r="B137" i="1"/>
  <c r="I138" i="1"/>
  <c r="B138" i="1"/>
  <c r="D136" i="1"/>
  <c r="B136" i="1"/>
  <c r="D135" i="1"/>
  <c r="B135" i="1"/>
  <c r="D134" i="1"/>
  <c r="B134" i="1"/>
  <c r="I133" i="1"/>
  <c r="B133" i="1"/>
  <c r="B132" i="1"/>
  <c r="D131" i="1"/>
  <c r="B131" i="1"/>
  <c r="I130" i="1"/>
  <c r="D130" i="1"/>
  <c r="B130" i="1"/>
  <c r="D129" i="1"/>
  <c r="B129" i="1"/>
  <c r="D128" i="1"/>
  <c r="B128" i="1"/>
  <c r="I127" i="1"/>
  <c r="D127" i="1"/>
  <c r="B127" i="1"/>
  <c r="D126" i="1"/>
  <c r="B126" i="1"/>
  <c r="D125" i="1"/>
  <c r="B125" i="1"/>
  <c r="B124" i="1"/>
  <c r="B123" i="1"/>
  <c r="I122" i="1"/>
  <c r="B122" i="1"/>
  <c r="I121" i="1"/>
  <c r="B121" i="1"/>
  <c r="I120" i="1"/>
  <c r="D120" i="1"/>
  <c r="B120" i="1"/>
  <c r="D119" i="1"/>
  <c r="B119" i="1"/>
  <c r="D118" i="1"/>
  <c r="B118" i="1"/>
  <c r="D117" i="1"/>
  <c r="B117" i="1"/>
  <c r="I116" i="1"/>
  <c r="B116" i="1"/>
  <c r="D115" i="1"/>
  <c r="B115" i="1"/>
  <c r="D114" i="1"/>
  <c r="B114" i="1"/>
  <c r="D113" i="1"/>
  <c r="B113" i="1"/>
  <c r="B112" i="1"/>
  <c r="D111" i="1"/>
  <c r="B111" i="1"/>
  <c r="D110" i="1"/>
  <c r="B110" i="1"/>
  <c r="I109" i="1"/>
  <c r="B109" i="1"/>
  <c r="D108" i="1"/>
  <c r="B108" i="1"/>
  <c r="D107" i="1"/>
  <c r="B107" i="1"/>
  <c r="D106" i="1"/>
  <c r="B106" i="1"/>
  <c r="B105" i="1"/>
  <c r="D104" i="1"/>
  <c r="B104" i="1"/>
  <c r="I103" i="1"/>
  <c r="B103" i="1"/>
  <c r="I102" i="1"/>
  <c r="B102" i="1"/>
  <c r="I101" i="1"/>
  <c r="B101" i="1"/>
  <c r="I100" i="1"/>
  <c r="B100" i="1"/>
  <c r="D99" i="1"/>
  <c r="B99" i="1"/>
  <c r="I98" i="1"/>
  <c r="B98" i="1"/>
  <c r="D97" i="1"/>
  <c r="B97" i="1"/>
  <c r="D96" i="1"/>
  <c r="B96" i="1"/>
  <c r="D95" i="1"/>
  <c r="B95" i="1"/>
  <c r="D94" i="1"/>
  <c r="B94" i="1"/>
  <c r="B93" i="1"/>
  <c r="I92" i="1"/>
  <c r="D92" i="1"/>
  <c r="B92" i="1"/>
  <c r="D91" i="1"/>
  <c r="B91" i="1"/>
  <c r="I89" i="1"/>
  <c r="B89" i="1"/>
  <c r="B90" i="1"/>
  <c r="I88" i="1"/>
  <c r="B88" i="1"/>
  <c r="I87" i="1"/>
  <c r="B87" i="1"/>
  <c r="B86" i="1"/>
  <c r="D85" i="1"/>
  <c r="B85" i="1"/>
  <c r="I84" i="1"/>
  <c r="C84" i="1"/>
  <c r="B84" i="1"/>
  <c r="D83" i="1"/>
  <c r="C83" i="1"/>
  <c r="B83" i="1"/>
  <c r="I82" i="1"/>
  <c r="B82" i="1"/>
  <c r="D81" i="1"/>
  <c r="B81" i="1"/>
  <c r="D80" i="1"/>
  <c r="B80" i="1"/>
  <c r="D79" i="1"/>
  <c r="B79" i="1"/>
  <c r="B78" i="1"/>
  <c r="I77" i="1"/>
  <c r="B77" i="1"/>
  <c r="D76" i="1"/>
  <c r="B76" i="1"/>
  <c r="I75" i="1"/>
  <c r="B75" i="1"/>
  <c r="I73" i="1"/>
  <c r="D73" i="1"/>
  <c r="B73" i="1"/>
  <c r="D72" i="1"/>
  <c r="B72" i="1"/>
  <c r="D71" i="1"/>
  <c r="C71" i="1"/>
  <c r="B71" i="1"/>
  <c r="D70" i="1"/>
  <c r="C70" i="1"/>
  <c r="B70" i="1"/>
  <c r="I69" i="1"/>
  <c r="D69" i="1"/>
  <c r="B69" i="1"/>
  <c r="D68" i="1"/>
  <c r="C68" i="1"/>
  <c r="B68" i="1"/>
  <c r="D67" i="1"/>
  <c r="C67" i="1"/>
  <c r="B67" i="1"/>
  <c r="D66" i="1"/>
  <c r="B66" i="1"/>
  <c r="D65" i="1"/>
  <c r="C65" i="1"/>
  <c r="B65" i="1"/>
  <c r="C64" i="1"/>
  <c r="B64" i="1"/>
  <c r="I63" i="1"/>
  <c r="D63" i="1"/>
  <c r="B63" i="1"/>
  <c r="D62" i="1"/>
  <c r="B62" i="1"/>
  <c r="D61" i="1"/>
  <c r="C61" i="1"/>
  <c r="B61" i="1"/>
  <c r="D60" i="1"/>
  <c r="B60" i="1"/>
  <c r="D59" i="1"/>
  <c r="B59" i="1"/>
  <c r="I58" i="1"/>
  <c r="D58" i="1"/>
  <c r="B58" i="1"/>
  <c r="I57" i="1"/>
  <c r="B57" i="1"/>
  <c r="I56" i="1"/>
  <c r="D56" i="1"/>
  <c r="B56" i="1"/>
  <c r="I55" i="1"/>
  <c r="D55" i="1"/>
  <c r="B55" i="1"/>
  <c r="D54" i="1"/>
  <c r="B54" i="1"/>
  <c r="D53" i="1"/>
  <c r="B53" i="1"/>
  <c r="D52" i="1"/>
  <c r="B52" i="1"/>
  <c r="D51" i="1"/>
  <c r="B51" i="1"/>
  <c r="D50" i="1"/>
  <c r="C50" i="1"/>
  <c r="B50" i="1"/>
  <c r="D49" i="1"/>
  <c r="C49" i="1"/>
  <c r="D48" i="1"/>
  <c r="C48" i="1"/>
  <c r="B48" i="1"/>
  <c r="I47" i="1"/>
  <c r="D47" i="1"/>
  <c r="C47" i="1"/>
  <c r="B47" i="1"/>
  <c r="D46" i="1"/>
  <c r="C46" i="1"/>
  <c r="B46" i="1"/>
  <c r="I45" i="1"/>
  <c r="D45" i="1"/>
  <c r="C45" i="1"/>
  <c r="B45" i="1"/>
  <c r="I44" i="1"/>
  <c r="D44" i="1"/>
  <c r="C44" i="1"/>
  <c r="B44" i="1"/>
  <c r="C43" i="1"/>
  <c r="B43" i="1"/>
  <c r="D36" i="1"/>
  <c r="D37" i="1"/>
  <c r="D38" i="1"/>
  <c r="D39" i="1"/>
  <c r="D40" i="1"/>
  <c r="D41" i="1"/>
  <c r="D42" i="1"/>
  <c r="C42" i="1"/>
  <c r="B42" i="1"/>
  <c r="I41" i="1"/>
  <c r="C41" i="1"/>
  <c r="B41" i="1"/>
  <c r="C40" i="1"/>
  <c r="B40" i="1"/>
  <c r="C39" i="1"/>
  <c r="B39" i="1"/>
  <c r="C38" i="1"/>
  <c r="B38" i="1"/>
  <c r="C37" i="1"/>
  <c r="B37" i="1"/>
  <c r="I36" i="1"/>
  <c r="C36" i="1"/>
  <c r="B36" i="1"/>
  <c r="I35" i="1"/>
  <c r="D35" i="1"/>
  <c r="C35" i="1"/>
  <c r="B35" i="1"/>
  <c r="I34" i="1"/>
  <c r="D34" i="1"/>
  <c r="C34" i="1"/>
  <c r="B34" i="1"/>
  <c r="D33" i="1"/>
  <c r="C33" i="1"/>
  <c r="B33" i="1"/>
  <c r="I32" i="1"/>
  <c r="D32" i="1"/>
  <c r="C32" i="1"/>
  <c r="B32" i="1"/>
  <c r="I31" i="1"/>
  <c r="D31" i="1"/>
  <c r="C31" i="1"/>
  <c r="B31" i="1"/>
  <c r="I30" i="1"/>
  <c r="D30" i="1"/>
  <c r="C30" i="1"/>
  <c r="B30" i="1"/>
  <c r="I29" i="1"/>
  <c r="D29" i="1"/>
  <c r="C29" i="1"/>
  <c r="B29" i="1"/>
  <c r="I28" i="1"/>
  <c r="D28" i="1"/>
  <c r="C28" i="1"/>
  <c r="B28" i="1"/>
  <c r="I27" i="1"/>
  <c r="D27" i="1"/>
  <c r="C27" i="1"/>
  <c r="B27" i="1"/>
  <c r="D26" i="1"/>
  <c r="B26" i="1"/>
  <c r="I25" i="1"/>
  <c r="D25" i="1"/>
  <c r="C25" i="1"/>
  <c r="B25" i="1"/>
  <c r="I24" i="1"/>
  <c r="D24" i="1"/>
  <c r="C24" i="1"/>
  <c r="B24" i="1"/>
  <c r="I23" i="1"/>
  <c r="D23" i="1"/>
  <c r="C23" i="1"/>
  <c r="B23" i="1"/>
  <c r="D22" i="1"/>
  <c r="C22" i="1"/>
  <c r="B22" i="1"/>
  <c r="I21" i="1"/>
  <c r="D21" i="1"/>
  <c r="C21" i="1"/>
  <c r="B21" i="1"/>
  <c r="D20" i="1"/>
  <c r="C20" i="1"/>
  <c r="B20" i="1"/>
  <c r="D19" i="1"/>
  <c r="C19" i="1"/>
  <c r="B19" i="1"/>
  <c r="I18" i="1"/>
  <c r="D18" i="1"/>
  <c r="C18" i="1"/>
  <c r="B18" i="1"/>
  <c r="I17" i="1"/>
  <c r="D17" i="1"/>
  <c r="C17" i="1"/>
  <c r="B17" i="1"/>
  <c r="I16" i="1"/>
  <c r="D16" i="1"/>
  <c r="C16" i="1"/>
  <c r="B16" i="1"/>
  <c r="D15" i="1"/>
  <c r="C15" i="1"/>
  <c r="B15" i="1"/>
  <c r="D14" i="1"/>
  <c r="C14" i="1"/>
  <c r="B14" i="1"/>
  <c r="B13" i="1"/>
  <c r="D12" i="1"/>
  <c r="C12" i="1"/>
  <c r="B12" i="1"/>
  <c r="D11" i="1"/>
  <c r="C11" i="1"/>
  <c r="B11" i="1"/>
  <c r="D10" i="1"/>
  <c r="C10" i="1"/>
  <c r="B10" i="1"/>
  <c r="B9" i="1"/>
  <c r="I8" i="1"/>
  <c r="D8" i="1"/>
  <c r="C8" i="1"/>
  <c r="B8" i="1"/>
  <c r="I7" i="1"/>
  <c r="B7" i="1"/>
  <c r="D6" i="1"/>
  <c r="B6" i="1"/>
  <c r="D5" i="1"/>
  <c r="C5" i="1"/>
  <c r="B5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<sst xmlns="http://schemas.openxmlformats.org/spreadsheetml/2006/main" count="614" uniqueCount="259">
  <si>
    <t>Company</t>
  </si>
  <si>
    <t>Month</t>
  </si>
  <si>
    <t>Year</t>
  </si>
  <si>
    <t>Currency</t>
  </si>
  <si>
    <t>La Fondiaria Vita</t>
  </si>
  <si>
    <t>G.ITL</t>
  </si>
  <si>
    <t>Castagnetti</t>
  </si>
  <si>
    <t>Pirelli &amp; C.</t>
  </si>
  <si>
    <t>Cartiere Italiane Riunite</t>
  </si>
  <si>
    <t>Acqua Pia Antica Marcia</t>
  </si>
  <si>
    <t>IFI</t>
  </si>
  <si>
    <t>Italcementi</t>
  </si>
  <si>
    <t>Gruppo Lepetit</t>
  </si>
  <si>
    <t>SIO - Industria Ossigeno e altri Gas</t>
  </si>
  <si>
    <t xml:space="preserve">COGE  </t>
  </si>
  <si>
    <t>Sermide</t>
  </si>
  <si>
    <t>SEM</t>
  </si>
  <si>
    <t>Banca Mercantile Italiana</t>
  </si>
  <si>
    <t>Fer.Co - Ferrovie e Costruzioni</t>
  </si>
  <si>
    <t>Unicem</t>
  </si>
  <si>
    <t>Assicurazioni Generali</t>
  </si>
  <si>
    <t>La Gaiana</t>
  </si>
  <si>
    <t>La Centrale</t>
  </si>
  <si>
    <t>Beni Immobili Italia</t>
  </si>
  <si>
    <t>D. Tripcovich &amp; CI.</t>
  </si>
  <si>
    <t>Autostrade Meridionali</t>
  </si>
  <si>
    <t>Calzaturificio di Varese</t>
  </si>
  <si>
    <t>Eternit</t>
  </si>
  <si>
    <t>Banca Cattolica del Veneto</t>
  </si>
  <si>
    <t>Acquedotto Nicolay</t>
  </si>
  <si>
    <t>Banca popolare di Luino e di Varese</t>
  </si>
  <si>
    <t>Ausiliare</t>
  </si>
  <si>
    <t>Toro Assicurazioni</t>
  </si>
  <si>
    <t>Banca Popolare Commercio e Industria</t>
  </si>
  <si>
    <t>Terme Demaniali di Acqui</t>
  </si>
  <si>
    <t>Cogefar</t>
  </si>
  <si>
    <t>Linificio Canapificio Nazionale</t>
  </si>
  <si>
    <t>Farmitalia Carlo Erba</t>
  </si>
  <si>
    <t>Italia Assicurazioni</t>
  </si>
  <si>
    <t>Banca Popolare di Palazzolo Sull'Oglio</t>
  </si>
  <si>
    <t>Sacip</t>
  </si>
  <si>
    <t>Borgosesia</t>
  </si>
  <si>
    <t>SMI - Metallurgica Italiana</t>
  </si>
  <si>
    <t>Finmare</t>
  </si>
  <si>
    <t>Pacchetti</t>
  </si>
  <si>
    <t>Manetti - H. Roberts</t>
  </si>
  <si>
    <t>Riunione Adriatica Sicurtà (RAS)</t>
  </si>
  <si>
    <t>Rejna S.p.A.</t>
  </si>
  <si>
    <t>Risanamento Napoli</t>
  </si>
  <si>
    <t>SAIAG</t>
  </si>
  <si>
    <t>Franco Tosi</t>
  </si>
  <si>
    <t>Aedes</t>
  </si>
  <si>
    <t>Vianini</t>
  </si>
  <si>
    <t>Eliolona</t>
  </si>
  <si>
    <t>Ferrovie Nord Milano</t>
  </si>
  <si>
    <t>Navigazione Alta Italia</t>
  </si>
  <si>
    <t>Vittoria Assicurazioni</t>
  </si>
  <si>
    <t>Acquedotto De Ferrari Galliera</t>
  </si>
  <si>
    <t>Alitalia</t>
  </si>
  <si>
    <t>Italiana Gas</t>
  </si>
  <si>
    <t>Firs</t>
  </si>
  <si>
    <t>Birra Wuehrer</t>
  </si>
  <si>
    <t>Trafilerie Laminatoi Metalli</t>
  </si>
  <si>
    <t>Pirelli S.p.A.</t>
  </si>
  <si>
    <t>Manifattura Rotondi</t>
  </si>
  <si>
    <t>La Rinascente</t>
  </si>
  <si>
    <t>SO.PA.F.</t>
  </si>
  <si>
    <t>Condotta Acque Potabili</t>
  </si>
  <si>
    <t>Banca della Provincia di Napoli</t>
  </si>
  <si>
    <t>Finrex</t>
  </si>
  <si>
    <t>Filippo Fochi</t>
  </si>
  <si>
    <t>Istituto Italiano di Credito Fondiario</t>
  </si>
  <si>
    <t>Teknecomp</t>
  </si>
  <si>
    <t>Buton</t>
  </si>
  <si>
    <t>Ceramica Italiana Pozzi Richard-Ginori</t>
  </si>
  <si>
    <t>Vinicola Italiana S.A.V.I</t>
  </si>
  <si>
    <t>Ing. C. Olivetti &amp; C.</t>
  </si>
  <si>
    <t>Wabco Westinghouse</t>
  </si>
  <si>
    <t>Cementerie di Sardegna</t>
  </si>
  <si>
    <t>Danieli &amp; C.</t>
  </si>
  <si>
    <t>Banco di Sardegna</t>
  </si>
  <si>
    <t>Faema</t>
  </si>
  <si>
    <t>Fiar</t>
  </si>
  <si>
    <t>Schiapparelli 1824</t>
  </si>
  <si>
    <t>Worthington</t>
  </si>
  <si>
    <t>Dataconsyst</t>
  </si>
  <si>
    <t>Banca Popolare di Cremona</t>
  </si>
  <si>
    <t>Credito Italiano</t>
  </si>
  <si>
    <t>Compagnia Assicuratrice Unipol</t>
  </si>
  <si>
    <t>Banca Popolare dell'Emilia</t>
  </si>
  <si>
    <t>Banca di Credito Popolare</t>
  </si>
  <si>
    <t>SAES</t>
  </si>
  <si>
    <t>Fornara</t>
  </si>
  <si>
    <t>Pininfarina</t>
  </si>
  <si>
    <t>Banca Popolare di Novara</t>
  </si>
  <si>
    <t>Cibiemme Plast</t>
  </si>
  <si>
    <t>Banca Creditwest e dei comuni vesuviani</t>
  </si>
  <si>
    <t>Gewiss</t>
  </si>
  <si>
    <t>Abb Tecnomasio</t>
  </si>
  <si>
    <t>Finanziaria Ernesto Breda</t>
  </si>
  <si>
    <t>Montefibre</t>
  </si>
  <si>
    <t>Mittel</t>
  </si>
  <si>
    <t>SIP Italiana Esercizio Telecomunicazioni</t>
  </si>
  <si>
    <t>Cementeria di Augusta</t>
  </si>
  <si>
    <t>Caltagirone</t>
  </si>
  <si>
    <t>ISVIM</t>
  </si>
  <si>
    <t>Ausonia Assicurazioni</t>
  </si>
  <si>
    <t>Bonifiche Siele Finanziaria</t>
  </si>
  <si>
    <t>Fidenza Vetraria</t>
  </si>
  <si>
    <t>Mediobanca</t>
  </si>
  <si>
    <t>La Magona d'Italia</t>
  </si>
  <si>
    <t>Acque e Terme di Bognanco</t>
  </si>
  <si>
    <t>Zerowatt</t>
  </si>
  <si>
    <t>Banca Manusardi</t>
  </si>
  <si>
    <t>Banca Credito Agrario Bresciano</t>
  </si>
  <si>
    <t>Banca Popolare di Intra</t>
  </si>
  <si>
    <t>Comau Finanziaria</t>
  </si>
  <si>
    <t>Dalmine</t>
  </si>
  <si>
    <t>Enichem Augusta</t>
  </si>
  <si>
    <t>Merloni Elettrodomestici</t>
  </si>
  <si>
    <t>Industrie Zignago S. Margherita</t>
  </si>
  <si>
    <t>Jolly Hotels</t>
  </si>
  <si>
    <t>Aviatour Italia</t>
  </si>
  <si>
    <t>Premuda</t>
  </si>
  <si>
    <t>Riva Finanziaria</t>
  </si>
  <si>
    <t>Autostrade Concessioni e Costruzioni Autostrade</t>
  </si>
  <si>
    <t>Banco di Napoli</t>
  </si>
  <si>
    <t>Fidis - Finanzaria di Sviluppo</t>
  </si>
  <si>
    <t xml:space="preserve">SIFA </t>
  </si>
  <si>
    <t>IFIL</t>
  </si>
  <si>
    <t>Castellino</t>
  </si>
  <si>
    <t>Banca Popolare di Brescia</t>
  </si>
  <si>
    <t>Fabbrica Milanese Conduttori</t>
  </si>
  <si>
    <t>Napoletanagas</t>
  </si>
  <si>
    <t>La Fondiaria Assicurazioni</t>
  </si>
  <si>
    <t>Industrie Secco</t>
  </si>
  <si>
    <t>Sirti</t>
  </si>
  <si>
    <t>Autostrada Torino Milano</t>
  </si>
  <si>
    <t>Commerzbank AG</t>
  </si>
  <si>
    <t>M.DEM</t>
  </si>
  <si>
    <t>CIGA</t>
  </si>
  <si>
    <t>Istituto Farmacologico Serono</t>
  </si>
  <si>
    <t>Compagnia Latina Assicurazioni</t>
  </si>
  <si>
    <t>Finanziaria Pozzi-Ginori</t>
  </si>
  <si>
    <t>Gaic</t>
  </si>
  <si>
    <t>Finanziaria Agroindustriale</t>
  </si>
  <si>
    <t>Magneti Marelli</t>
  </si>
  <si>
    <t>Editoriale La Repubblica</t>
  </si>
  <si>
    <t>Broggi Izar</t>
  </si>
  <si>
    <t>Banca di Roma</t>
  </si>
  <si>
    <t>Fiat</t>
  </si>
  <si>
    <t>Banco Ambrosiano Veneto</t>
  </si>
  <si>
    <t>Maffei</t>
  </si>
  <si>
    <t>Milano Assicurazioni</t>
  </si>
  <si>
    <t>Banca Popolare di Crema</t>
  </si>
  <si>
    <t>Banca Popolare di Milano</t>
  </si>
  <si>
    <t>Attività immobiliari</t>
  </si>
  <si>
    <t>Caffaro</t>
  </si>
  <si>
    <t>Centenari &amp; Zinelli</t>
  </si>
  <si>
    <t>Marangoni</t>
  </si>
  <si>
    <t>Sogefi</t>
  </si>
  <si>
    <t>Istituto Bancario San Paolo</t>
  </si>
  <si>
    <t>Banco di Desio e della Brianza</t>
  </si>
  <si>
    <t>Banca Fideuram</t>
  </si>
  <si>
    <t>Banca Popolare di Sondrio</t>
  </si>
  <si>
    <t>Credito Valtellinese</t>
  </si>
  <si>
    <t>Monrif</t>
  </si>
  <si>
    <t>SORIN Biomedica</t>
  </si>
  <si>
    <t>SNIA Fibre</t>
  </si>
  <si>
    <t>Antichi pellettieri</t>
  </si>
  <si>
    <t>M.EUR</t>
  </si>
  <si>
    <t>FMR Art'è</t>
  </si>
  <si>
    <t>CDC Point</t>
  </si>
  <si>
    <t>Cape Live</t>
  </si>
  <si>
    <t>D'Amico International Shipping</t>
  </si>
  <si>
    <t>M.USD</t>
  </si>
  <si>
    <t xml:space="preserve">El.En. </t>
  </si>
  <si>
    <t>Everel Group</t>
  </si>
  <si>
    <t>Finmeccanica</t>
  </si>
  <si>
    <t>Isagro</t>
  </si>
  <si>
    <t xml:space="preserve">Mondo Home Entertainment </t>
  </si>
  <si>
    <t>SNIA BPD</t>
  </si>
  <si>
    <t>Trevisan Cometal</t>
  </si>
  <si>
    <t>Zignago Vetro</t>
  </si>
  <si>
    <t>Condotta ACQUE POTABILI</t>
  </si>
  <si>
    <t>Aicon spa</t>
  </si>
  <si>
    <t>Banca Italease</t>
  </si>
  <si>
    <t>Erg Renew Spa</t>
  </si>
  <si>
    <t>BANCO DI SARDEGNA</t>
  </si>
  <si>
    <t>FULLSIX</t>
  </si>
  <si>
    <t xml:space="preserve">IMA </t>
  </si>
  <si>
    <t>IPI</t>
  </si>
  <si>
    <t xml:space="preserve">KINEXIA </t>
  </si>
  <si>
    <t>Monti Ascensori</t>
  </si>
  <si>
    <t>PIRELLI C</t>
  </si>
  <si>
    <t>RECORDATI</t>
  </si>
  <si>
    <t xml:space="preserve">RENO DE MEDICI </t>
  </si>
  <si>
    <t xml:space="preserve">ROSSS </t>
  </si>
  <si>
    <t>ASTALDI</t>
  </si>
  <si>
    <t>BASICNET</t>
  </si>
  <si>
    <t xml:space="preserve">BANCO DI DESIO E DELLA BRIANZA </t>
  </si>
  <si>
    <t>BOERO BARTOLOMEO</t>
  </si>
  <si>
    <t>CALEFFI</t>
  </si>
  <si>
    <t>CIR</t>
  </si>
  <si>
    <t xml:space="preserve">COFIDE </t>
  </si>
  <si>
    <t xml:space="preserve">CREDITO VALTELLINESE </t>
  </si>
  <si>
    <t>ERGYCAPITAL</t>
  </si>
  <si>
    <t xml:space="preserve">EDISON </t>
  </si>
  <si>
    <t xml:space="preserve">ELICA </t>
  </si>
  <si>
    <t>ENI S.p.A</t>
  </si>
  <si>
    <t xml:space="preserve">GRUPPO EDITORIALE L'ESPRESSO </t>
  </si>
  <si>
    <t>FINMECCANICA</t>
  </si>
  <si>
    <t>ISAGRO</t>
  </si>
  <si>
    <t xml:space="preserve">BANCA PROFILO </t>
  </si>
  <si>
    <t>POLIGRAFICA S</t>
  </si>
  <si>
    <t xml:space="preserve">RICHARD-GINORI 1735 </t>
  </si>
  <si>
    <t>A2A</t>
  </si>
  <si>
    <t>ATLANTIA</t>
  </si>
  <si>
    <t>AUTOSTRADE MERIDIONALI</t>
  </si>
  <si>
    <t xml:space="preserve">BONIFICHE FERRARESI SOCIETA` AGRICOLA </t>
  </si>
  <si>
    <t>BORGOSESIA</t>
  </si>
  <si>
    <t xml:space="preserve">CAPE LIVE </t>
  </si>
  <si>
    <t xml:space="preserve">GEMINA </t>
  </si>
  <si>
    <t>IMMSI</t>
  </si>
  <si>
    <t>KME GROUP</t>
  </si>
  <si>
    <t xml:space="preserve">MITTEL </t>
  </si>
  <si>
    <t xml:space="preserve">GRUPPO MOL </t>
  </si>
  <si>
    <t xml:space="preserve">RDB </t>
  </si>
  <si>
    <t>REPLY</t>
  </si>
  <si>
    <t>SOL</t>
  </si>
  <si>
    <t>SAIPEM</t>
  </si>
  <si>
    <t>AEFFE</t>
  </si>
  <si>
    <t>AEROPORTO DI FIRENZE</t>
  </si>
  <si>
    <t>AMPLIFON</t>
  </si>
  <si>
    <t>BANCA GENERALI</t>
  </si>
  <si>
    <t xml:space="preserve">CALTAGIRONE EDITORE </t>
  </si>
  <si>
    <t>DADA</t>
  </si>
  <si>
    <t xml:space="preserve">MILANO ASSICURAZIONI </t>
  </si>
  <si>
    <t xml:space="preserve">ESPRINET </t>
  </si>
  <si>
    <t xml:space="preserve">SS LAZIO </t>
  </si>
  <si>
    <t>UNIPOL</t>
  </si>
  <si>
    <t>Passive</t>
  </si>
  <si>
    <t>Debts</t>
  </si>
  <si>
    <t>Capital</t>
  </si>
  <si>
    <t>Profit</t>
  </si>
  <si>
    <t>Duration</t>
  </si>
  <si>
    <t>Revenue</t>
  </si>
  <si>
    <t>Reserve</t>
  </si>
  <si>
    <t>SpecialReserve</t>
  </si>
  <si>
    <t>Assets</t>
  </si>
  <si>
    <t>Altro</t>
  </si>
  <si>
    <t>Frequenza</t>
  </si>
  <si>
    <t>bins</t>
  </si>
  <si>
    <t>x</t>
  </si>
  <si>
    <t>f(x)</t>
  </si>
  <si>
    <t>A</t>
  </si>
  <si>
    <t>flow</t>
  </si>
  <si>
    <t>date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</si>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</sst>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0.00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164" fontId="3" fillId="0" borderId="0" xfId="0" applyNumberFormat="1" applyFont="1" applyFill="1"/>
    <xf numFmtId="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0" xfId="0" quotePrefix="1" applyNumberFormat="1" applyFont="1" applyFill="1" applyBorder="1" applyAlignment="1">
      <alignment horizontal="right" vertical="center"/>
    </xf>
    <xf numFmtId="0" fontId="4" fillId="0" borderId="0" xfId="0" applyFont="1"/>
    <xf numFmtId="164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14" fontId="0" fillId="0" borderId="0" xfId="0" applyNumberFormat="1"/>
    <xf numFmtId="10" fontId="0" fillId="0" borderId="0" xfId="1" applyNumberFormat="1" applyFont="1"/>
    <xf numFmtId="166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Equity!$D$1</c:f>
              <c:strCache>
                <c:ptCount val="1"/>
                <c:pt idx="0">
                  <c:v>Debts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Equity!$B$2:$B$294</c:f>
              <c:numCache>
                <c:formatCode>0.0</c:formatCode>
                <c:ptCount val="293"/>
                <c:pt idx="0">
                  <c:v>138</c:v>
                </c:pt>
                <c:pt idx="1">
                  <c:v>11.399999999999999</c:v>
                </c:pt>
                <c:pt idx="2">
                  <c:v>125</c:v>
                </c:pt>
                <c:pt idx="3">
                  <c:v>41</c:v>
                </c:pt>
                <c:pt idx="4">
                  <c:v>1.2</c:v>
                </c:pt>
                <c:pt idx="5">
                  <c:v>35</c:v>
                </c:pt>
                <c:pt idx="6">
                  <c:v>15.1</c:v>
                </c:pt>
                <c:pt idx="7">
                  <c:v>0</c:v>
                </c:pt>
                <c:pt idx="8">
                  <c:v>309</c:v>
                </c:pt>
                <c:pt idx="9">
                  <c:v>164</c:v>
                </c:pt>
                <c:pt idx="10">
                  <c:v>549</c:v>
                </c:pt>
                <c:pt idx="11">
                  <c:v>2.2000000000000002</c:v>
                </c:pt>
                <c:pt idx="12">
                  <c:v>15.3</c:v>
                </c:pt>
                <c:pt idx="13">
                  <c:v>48</c:v>
                </c:pt>
                <c:pt idx="14">
                  <c:v>154</c:v>
                </c:pt>
                <c:pt idx="15">
                  <c:v>48</c:v>
                </c:pt>
                <c:pt idx="16">
                  <c:v>2697</c:v>
                </c:pt>
                <c:pt idx="17">
                  <c:v>223</c:v>
                </c:pt>
                <c:pt idx="18">
                  <c:v>9.8000000000000007</c:v>
                </c:pt>
                <c:pt idx="19">
                  <c:v>243</c:v>
                </c:pt>
                <c:pt idx="20">
                  <c:v>10.799999999999999</c:v>
                </c:pt>
                <c:pt idx="21">
                  <c:v>18.7</c:v>
                </c:pt>
                <c:pt idx="22">
                  <c:v>233</c:v>
                </c:pt>
                <c:pt idx="23">
                  <c:v>29</c:v>
                </c:pt>
                <c:pt idx="24">
                  <c:v>27</c:v>
                </c:pt>
                <c:pt idx="25">
                  <c:v>27</c:v>
                </c:pt>
                <c:pt idx="26">
                  <c:v>4580</c:v>
                </c:pt>
                <c:pt idx="27">
                  <c:v>629</c:v>
                </c:pt>
                <c:pt idx="28">
                  <c:v>40</c:v>
                </c:pt>
                <c:pt idx="29">
                  <c:v>65</c:v>
                </c:pt>
                <c:pt idx="30">
                  <c:v>50</c:v>
                </c:pt>
                <c:pt idx="31">
                  <c:v>352</c:v>
                </c:pt>
                <c:pt idx="32">
                  <c:v>541</c:v>
                </c:pt>
                <c:pt idx="33">
                  <c:v>52</c:v>
                </c:pt>
                <c:pt idx="34">
                  <c:v>1825</c:v>
                </c:pt>
                <c:pt idx="35">
                  <c:v>360</c:v>
                </c:pt>
                <c:pt idx="36">
                  <c:v>703</c:v>
                </c:pt>
                <c:pt idx="37">
                  <c:v>391</c:v>
                </c:pt>
                <c:pt idx="38">
                  <c:v>323</c:v>
                </c:pt>
                <c:pt idx="39">
                  <c:v>247</c:v>
                </c:pt>
                <c:pt idx="40">
                  <c:v>110</c:v>
                </c:pt>
                <c:pt idx="41">
                  <c:v>2.6000000000000005</c:v>
                </c:pt>
                <c:pt idx="42">
                  <c:v>672</c:v>
                </c:pt>
                <c:pt idx="43">
                  <c:v>22</c:v>
                </c:pt>
                <c:pt idx="44">
                  <c:v>608</c:v>
                </c:pt>
                <c:pt idx="45">
                  <c:v>267</c:v>
                </c:pt>
                <c:pt idx="46">
                  <c:v>540</c:v>
                </c:pt>
                <c:pt idx="47">
                  <c:v>54</c:v>
                </c:pt>
                <c:pt idx="48">
                  <c:v>72</c:v>
                </c:pt>
                <c:pt idx="49">
                  <c:v>10.399999999999999</c:v>
                </c:pt>
                <c:pt idx="50">
                  <c:v>114</c:v>
                </c:pt>
                <c:pt idx="51">
                  <c:v>1983</c:v>
                </c:pt>
                <c:pt idx="52">
                  <c:v>4.4000000000000004</c:v>
                </c:pt>
                <c:pt idx="53">
                  <c:v>57</c:v>
                </c:pt>
                <c:pt idx="54">
                  <c:v>211</c:v>
                </c:pt>
                <c:pt idx="55">
                  <c:v>3.3000000000000003</c:v>
                </c:pt>
                <c:pt idx="56">
                  <c:v>26</c:v>
                </c:pt>
                <c:pt idx="57">
                  <c:v>72</c:v>
                </c:pt>
                <c:pt idx="58">
                  <c:v>317</c:v>
                </c:pt>
                <c:pt idx="59">
                  <c:v>525</c:v>
                </c:pt>
                <c:pt idx="60">
                  <c:v>375</c:v>
                </c:pt>
                <c:pt idx="61">
                  <c:v>108</c:v>
                </c:pt>
                <c:pt idx="62">
                  <c:v>143</c:v>
                </c:pt>
                <c:pt idx="63">
                  <c:v>36</c:v>
                </c:pt>
                <c:pt idx="64">
                  <c:v>3199</c:v>
                </c:pt>
                <c:pt idx="65">
                  <c:v>53</c:v>
                </c:pt>
                <c:pt idx="66">
                  <c:v>45</c:v>
                </c:pt>
                <c:pt idx="67">
                  <c:v>101</c:v>
                </c:pt>
                <c:pt idx="68">
                  <c:v>1173</c:v>
                </c:pt>
                <c:pt idx="69">
                  <c:v>1180</c:v>
                </c:pt>
                <c:pt idx="70">
                  <c:v>43</c:v>
                </c:pt>
                <c:pt idx="71">
                  <c:v>991</c:v>
                </c:pt>
                <c:pt idx="72">
                  <c:v>21</c:v>
                </c:pt>
                <c:pt idx="73">
                  <c:v>21</c:v>
                </c:pt>
                <c:pt idx="74">
                  <c:v>90</c:v>
                </c:pt>
                <c:pt idx="75">
                  <c:v>657</c:v>
                </c:pt>
                <c:pt idx="76">
                  <c:v>60</c:v>
                </c:pt>
                <c:pt idx="77">
                  <c:v>262</c:v>
                </c:pt>
                <c:pt idx="78">
                  <c:v>31</c:v>
                </c:pt>
                <c:pt idx="79">
                  <c:v>212</c:v>
                </c:pt>
                <c:pt idx="80">
                  <c:v>26</c:v>
                </c:pt>
                <c:pt idx="81">
                  <c:v>5353</c:v>
                </c:pt>
                <c:pt idx="82">
                  <c:v>4605</c:v>
                </c:pt>
                <c:pt idx="83">
                  <c:v>108</c:v>
                </c:pt>
                <c:pt idx="84">
                  <c:v>19</c:v>
                </c:pt>
                <c:pt idx="85">
                  <c:v>20</c:v>
                </c:pt>
                <c:pt idx="86">
                  <c:v>9051</c:v>
                </c:pt>
                <c:pt idx="87">
                  <c:v>1268</c:v>
                </c:pt>
                <c:pt idx="88">
                  <c:v>6172</c:v>
                </c:pt>
                <c:pt idx="89">
                  <c:v>275</c:v>
                </c:pt>
                <c:pt idx="90">
                  <c:v>1168</c:v>
                </c:pt>
                <c:pt idx="91">
                  <c:v>60989</c:v>
                </c:pt>
                <c:pt idx="92">
                  <c:v>896</c:v>
                </c:pt>
                <c:pt idx="93">
                  <c:v>64</c:v>
                </c:pt>
                <c:pt idx="94">
                  <c:v>50</c:v>
                </c:pt>
                <c:pt idx="95">
                  <c:v>183</c:v>
                </c:pt>
                <c:pt idx="96">
                  <c:v>18</c:v>
                </c:pt>
                <c:pt idx="97">
                  <c:v>105</c:v>
                </c:pt>
                <c:pt idx="98">
                  <c:v>871</c:v>
                </c:pt>
                <c:pt idx="99">
                  <c:v>5239</c:v>
                </c:pt>
                <c:pt idx="100">
                  <c:v>22149</c:v>
                </c:pt>
                <c:pt idx="101">
                  <c:v>1443</c:v>
                </c:pt>
                <c:pt idx="102">
                  <c:v>0.60000000000000009</c:v>
                </c:pt>
                <c:pt idx="103">
                  <c:v>0.1</c:v>
                </c:pt>
                <c:pt idx="104">
                  <c:v>1970</c:v>
                </c:pt>
                <c:pt idx="105">
                  <c:v>1.9</c:v>
                </c:pt>
                <c:pt idx="106">
                  <c:v>78</c:v>
                </c:pt>
                <c:pt idx="107">
                  <c:v>1167</c:v>
                </c:pt>
                <c:pt idx="108">
                  <c:v>171</c:v>
                </c:pt>
                <c:pt idx="109">
                  <c:v>54</c:v>
                </c:pt>
                <c:pt idx="110">
                  <c:v>1.3</c:v>
                </c:pt>
                <c:pt idx="111">
                  <c:v>3.7</c:v>
                </c:pt>
                <c:pt idx="112">
                  <c:v>103</c:v>
                </c:pt>
                <c:pt idx="113">
                  <c:v>58</c:v>
                </c:pt>
                <c:pt idx="114">
                  <c:v>78</c:v>
                </c:pt>
                <c:pt idx="115">
                  <c:v>1629</c:v>
                </c:pt>
                <c:pt idx="116">
                  <c:v>8682</c:v>
                </c:pt>
                <c:pt idx="117">
                  <c:v>61069</c:v>
                </c:pt>
                <c:pt idx="118">
                  <c:v>111</c:v>
                </c:pt>
                <c:pt idx="119">
                  <c:v>449</c:v>
                </c:pt>
                <c:pt idx="120">
                  <c:v>1051</c:v>
                </c:pt>
                <c:pt idx="121">
                  <c:v>319</c:v>
                </c:pt>
                <c:pt idx="122">
                  <c:v>0.9</c:v>
                </c:pt>
                <c:pt idx="123">
                  <c:v>0.9</c:v>
                </c:pt>
                <c:pt idx="124">
                  <c:v>455</c:v>
                </c:pt>
                <c:pt idx="125">
                  <c:v>874</c:v>
                </c:pt>
                <c:pt idx="126">
                  <c:v>1026</c:v>
                </c:pt>
                <c:pt idx="127">
                  <c:v>661</c:v>
                </c:pt>
                <c:pt idx="128">
                  <c:v>18944</c:v>
                </c:pt>
                <c:pt idx="129">
                  <c:v>311</c:v>
                </c:pt>
                <c:pt idx="130">
                  <c:v>0.30000000000000004</c:v>
                </c:pt>
                <c:pt idx="131">
                  <c:v>409</c:v>
                </c:pt>
                <c:pt idx="132">
                  <c:v>84</c:v>
                </c:pt>
                <c:pt idx="133">
                  <c:v>58</c:v>
                </c:pt>
                <c:pt idx="134">
                  <c:v>61</c:v>
                </c:pt>
                <c:pt idx="135">
                  <c:v>7151</c:v>
                </c:pt>
                <c:pt idx="136">
                  <c:v>3455</c:v>
                </c:pt>
                <c:pt idx="137">
                  <c:v>4994</c:v>
                </c:pt>
                <c:pt idx="138">
                  <c:v>1611</c:v>
                </c:pt>
                <c:pt idx="139">
                  <c:v>2.2999999999999998</c:v>
                </c:pt>
                <c:pt idx="140">
                  <c:v>2245</c:v>
                </c:pt>
                <c:pt idx="141">
                  <c:v>1532</c:v>
                </c:pt>
                <c:pt idx="142">
                  <c:v>865</c:v>
                </c:pt>
                <c:pt idx="143">
                  <c:v>0.4</c:v>
                </c:pt>
                <c:pt idx="144">
                  <c:v>0.4</c:v>
                </c:pt>
                <c:pt idx="145">
                  <c:v>3.1</c:v>
                </c:pt>
                <c:pt idx="146">
                  <c:v>1.1000000000000001</c:v>
                </c:pt>
                <c:pt idx="147">
                  <c:v>110</c:v>
                </c:pt>
                <c:pt idx="148">
                  <c:v>2</c:v>
                </c:pt>
                <c:pt idx="149">
                  <c:v>15902</c:v>
                </c:pt>
                <c:pt idx="150">
                  <c:v>2191</c:v>
                </c:pt>
                <c:pt idx="151">
                  <c:v>75875</c:v>
                </c:pt>
                <c:pt idx="152">
                  <c:v>55</c:v>
                </c:pt>
                <c:pt idx="153">
                  <c:v>926</c:v>
                </c:pt>
                <c:pt idx="154">
                  <c:v>14731</c:v>
                </c:pt>
                <c:pt idx="155">
                  <c:v>2210</c:v>
                </c:pt>
                <c:pt idx="156">
                  <c:v>2771</c:v>
                </c:pt>
                <c:pt idx="157">
                  <c:v>6.2</c:v>
                </c:pt>
                <c:pt idx="158">
                  <c:v>2.2999999999999998</c:v>
                </c:pt>
                <c:pt idx="159">
                  <c:v>221</c:v>
                </c:pt>
                <c:pt idx="160">
                  <c:v>102</c:v>
                </c:pt>
                <c:pt idx="161">
                  <c:v>133</c:v>
                </c:pt>
                <c:pt idx="162">
                  <c:v>4621</c:v>
                </c:pt>
                <c:pt idx="163">
                  <c:v>343</c:v>
                </c:pt>
                <c:pt idx="164">
                  <c:v>688</c:v>
                </c:pt>
                <c:pt idx="165">
                  <c:v>12096</c:v>
                </c:pt>
                <c:pt idx="166">
                  <c:v>3158</c:v>
                </c:pt>
                <c:pt idx="167">
                  <c:v>519</c:v>
                </c:pt>
                <c:pt idx="168">
                  <c:v>19849</c:v>
                </c:pt>
                <c:pt idx="169">
                  <c:v>48434</c:v>
                </c:pt>
                <c:pt idx="170">
                  <c:v>39</c:v>
                </c:pt>
                <c:pt idx="171">
                  <c:v>329</c:v>
                </c:pt>
                <c:pt idx="172">
                  <c:v>351</c:v>
                </c:pt>
                <c:pt idx="173">
                  <c:v>1.7</c:v>
                </c:pt>
                <c:pt idx="174">
                  <c:v>286</c:v>
                </c:pt>
                <c:pt idx="175">
                  <c:v>913</c:v>
                </c:pt>
                <c:pt idx="176">
                  <c:v>1027</c:v>
                </c:pt>
                <c:pt idx="177">
                  <c:v>773</c:v>
                </c:pt>
                <c:pt idx="178">
                  <c:v>15.5</c:v>
                </c:pt>
                <c:pt idx="179">
                  <c:v>0.1</c:v>
                </c:pt>
                <c:pt idx="180">
                  <c:v>1888</c:v>
                </c:pt>
                <c:pt idx="181">
                  <c:v>0.5</c:v>
                </c:pt>
                <c:pt idx="182">
                  <c:v>4.0999999999999996</c:v>
                </c:pt>
                <c:pt idx="183">
                  <c:v>152161</c:v>
                </c:pt>
                <c:pt idx="184">
                  <c:v>7495</c:v>
                </c:pt>
                <c:pt idx="185">
                  <c:v>1625</c:v>
                </c:pt>
                <c:pt idx="186">
                  <c:v>11946</c:v>
                </c:pt>
                <c:pt idx="187">
                  <c:v>49290</c:v>
                </c:pt>
                <c:pt idx="188">
                  <c:v>2284</c:v>
                </c:pt>
                <c:pt idx="189">
                  <c:v>124582</c:v>
                </c:pt>
                <c:pt idx="190">
                  <c:v>920</c:v>
                </c:pt>
                <c:pt idx="191">
                  <c:v>201</c:v>
                </c:pt>
                <c:pt idx="192">
                  <c:v>4992</c:v>
                </c:pt>
                <c:pt idx="193">
                  <c:v>512</c:v>
                </c:pt>
                <c:pt idx="194">
                  <c:v>292</c:v>
                </c:pt>
                <c:pt idx="195">
                  <c:v>1939</c:v>
                </c:pt>
                <c:pt idx="196">
                  <c:v>38502</c:v>
                </c:pt>
                <c:pt idx="197">
                  <c:v>1253</c:v>
                </c:pt>
                <c:pt idx="198">
                  <c:v>382</c:v>
                </c:pt>
                <c:pt idx="199">
                  <c:v>133</c:v>
                </c:pt>
                <c:pt idx="200">
                  <c:v>399</c:v>
                </c:pt>
                <c:pt idx="201">
                  <c:v>252697</c:v>
                </c:pt>
                <c:pt idx="202">
                  <c:v>600</c:v>
                </c:pt>
                <c:pt idx="203">
                  <c:v>412</c:v>
                </c:pt>
                <c:pt idx="204">
                  <c:v>1443</c:v>
                </c:pt>
                <c:pt idx="205">
                  <c:v>1295</c:v>
                </c:pt>
                <c:pt idx="206">
                  <c:v>993</c:v>
                </c:pt>
                <c:pt idx="207">
                  <c:v>5498</c:v>
                </c:pt>
                <c:pt idx="208">
                  <c:v>8109</c:v>
                </c:pt>
                <c:pt idx="209">
                  <c:v>3529</c:v>
                </c:pt>
                <c:pt idx="210">
                  <c:v>8631</c:v>
                </c:pt>
                <c:pt idx="211">
                  <c:v>423</c:v>
                </c:pt>
                <c:pt idx="212">
                  <c:v>1525</c:v>
                </c:pt>
                <c:pt idx="213">
                  <c:v>641</c:v>
                </c:pt>
                <c:pt idx="214">
                  <c:v>978</c:v>
                </c:pt>
                <c:pt idx="215">
                  <c:v>1257</c:v>
                </c:pt>
                <c:pt idx="216">
                  <c:v>1484</c:v>
                </c:pt>
                <c:pt idx="217">
                  <c:v>419</c:v>
                </c:pt>
                <c:pt idx="218">
                  <c:v>357</c:v>
                </c:pt>
                <c:pt idx="219">
                  <c:v>99</c:v>
                </c:pt>
                <c:pt idx="220">
                  <c:v>232</c:v>
                </c:pt>
                <c:pt idx="221">
                  <c:v>500</c:v>
                </c:pt>
                <c:pt idx="222">
                  <c:v>224</c:v>
                </c:pt>
                <c:pt idx="223">
                  <c:v>83</c:v>
                </c:pt>
                <c:pt idx="224">
                  <c:v>23939</c:v>
                </c:pt>
                <c:pt idx="225">
                  <c:v>65</c:v>
                </c:pt>
                <c:pt idx="226">
                  <c:v>328</c:v>
                </c:pt>
                <c:pt idx="227">
                  <c:v>9775</c:v>
                </c:pt>
                <c:pt idx="228">
                  <c:v>57</c:v>
                </c:pt>
                <c:pt idx="229">
                  <c:v>302</c:v>
                </c:pt>
                <c:pt idx="230">
                  <c:v>181</c:v>
                </c:pt>
                <c:pt idx="231">
                  <c:v>220</c:v>
                </c:pt>
                <c:pt idx="232">
                  <c:v>155</c:v>
                </c:pt>
                <c:pt idx="233">
                  <c:v>22575</c:v>
                </c:pt>
                <c:pt idx="234">
                  <c:v>12652</c:v>
                </c:pt>
                <c:pt idx="235">
                  <c:v>269</c:v>
                </c:pt>
                <c:pt idx="236">
                  <c:v>5545</c:v>
                </c:pt>
                <c:pt idx="237">
                  <c:v>31</c:v>
                </c:pt>
                <c:pt idx="238">
                  <c:v>591</c:v>
                </c:pt>
                <c:pt idx="239">
                  <c:v>416</c:v>
                </c:pt>
                <c:pt idx="240">
                  <c:v>26</c:v>
                </c:pt>
                <c:pt idx="241">
                  <c:v>59</c:v>
                </c:pt>
                <c:pt idx="242">
                  <c:v>6837</c:v>
                </c:pt>
                <c:pt idx="243">
                  <c:v>815</c:v>
                </c:pt>
                <c:pt idx="244">
                  <c:v>482</c:v>
                </c:pt>
                <c:pt idx="245">
                  <c:v>17</c:v>
                </c:pt>
                <c:pt idx="246">
                  <c:v>2746</c:v>
                </c:pt>
                <c:pt idx="247">
                  <c:v>1480</c:v>
                </c:pt>
                <c:pt idx="248">
                  <c:v>8303</c:v>
                </c:pt>
                <c:pt idx="249">
                  <c:v>187</c:v>
                </c:pt>
                <c:pt idx="250">
                  <c:v>142</c:v>
                </c:pt>
                <c:pt idx="251">
                  <c:v>50</c:v>
                </c:pt>
                <c:pt idx="252">
                  <c:v>6651</c:v>
                </c:pt>
                <c:pt idx="253">
                  <c:v>6804</c:v>
                </c:pt>
                <c:pt idx="254">
                  <c:v>24896</c:v>
                </c:pt>
                <c:pt idx="255">
                  <c:v>16370</c:v>
                </c:pt>
                <c:pt idx="256">
                  <c:v>296</c:v>
                </c:pt>
                <c:pt idx="257">
                  <c:v>115640</c:v>
                </c:pt>
                <c:pt idx="258">
                  <c:v>117</c:v>
                </c:pt>
                <c:pt idx="259">
                  <c:v>30397</c:v>
                </c:pt>
                <c:pt idx="260">
                  <c:v>1396</c:v>
                </c:pt>
                <c:pt idx="261">
                  <c:v>321</c:v>
                </c:pt>
                <c:pt idx="262">
                  <c:v>35</c:v>
                </c:pt>
                <c:pt idx="263">
                  <c:v>61</c:v>
                </c:pt>
                <c:pt idx="264">
                  <c:v>12320</c:v>
                </c:pt>
                <c:pt idx="265">
                  <c:v>23893</c:v>
                </c:pt>
                <c:pt idx="266">
                  <c:v>359</c:v>
                </c:pt>
                <c:pt idx="267">
                  <c:v>157</c:v>
                </c:pt>
                <c:pt idx="268">
                  <c:v>132</c:v>
                </c:pt>
                <c:pt idx="269">
                  <c:v>136</c:v>
                </c:pt>
                <c:pt idx="270">
                  <c:v>4005</c:v>
                </c:pt>
                <c:pt idx="271">
                  <c:v>43</c:v>
                </c:pt>
                <c:pt idx="272">
                  <c:v>2309</c:v>
                </c:pt>
                <c:pt idx="273">
                  <c:v>1923</c:v>
                </c:pt>
                <c:pt idx="274">
                  <c:v>1087</c:v>
                </c:pt>
                <c:pt idx="275">
                  <c:v>430</c:v>
                </c:pt>
                <c:pt idx="276">
                  <c:v>361</c:v>
                </c:pt>
                <c:pt idx="277">
                  <c:v>1937</c:v>
                </c:pt>
                <c:pt idx="278">
                  <c:v>14884</c:v>
                </c:pt>
                <c:pt idx="279">
                  <c:v>658</c:v>
                </c:pt>
                <c:pt idx="280">
                  <c:v>392</c:v>
                </c:pt>
                <c:pt idx="281">
                  <c:v>80</c:v>
                </c:pt>
                <c:pt idx="282">
                  <c:v>1150</c:v>
                </c:pt>
                <c:pt idx="283">
                  <c:v>4549</c:v>
                </c:pt>
                <c:pt idx="284">
                  <c:v>13468</c:v>
                </c:pt>
                <c:pt idx="285">
                  <c:v>3371</c:v>
                </c:pt>
                <c:pt idx="286">
                  <c:v>118</c:v>
                </c:pt>
                <c:pt idx="287">
                  <c:v>15602</c:v>
                </c:pt>
                <c:pt idx="288">
                  <c:v>714</c:v>
                </c:pt>
                <c:pt idx="289">
                  <c:v>15.8</c:v>
                </c:pt>
                <c:pt idx="290">
                  <c:v>10639</c:v>
                </c:pt>
                <c:pt idx="291">
                  <c:v>163</c:v>
                </c:pt>
                <c:pt idx="292">
                  <c:v>39182</c:v>
                </c:pt>
              </c:numCache>
            </c:numRef>
          </c:xVal>
          <c:yVal>
            <c:numRef>
              <c:f>Equity!$D$2:$D$294</c:f>
              <c:numCache>
                <c:formatCode>0.0</c:formatCode>
                <c:ptCount val="293"/>
                <c:pt idx="0">
                  <c:v>59</c:v>
                </c:pt>
                <c:pt idx="1">
                  <c:v>6.7</c:v>
                </c:pt>
                <c:pt idx="2">
                  <c:v>9</c:v>
                </c:pt>
                <c:pt idx="3">
                  <c:v>1</c:v>
                </c:pt>
                <c:pt idx="4">
                  <c:v>1.2</c:v>
                </c:pt>
                <c:pt idx="5">
                  <c:v>0.3</c:v>
                </c:pt>
                <c:pt idx="6">
                  <c:v>1.2</c:v>
                </c:pt>
                <c:pt idx="7">
                  <c:v>0</c:v>
                </c:pt>
                <c:pt idx="8">
                  <c:v>23</c:v>
                </c:pt>
                <c:pt idx="9">
                  <c:v>19</c:v>
                </c:pt>
                <c:pt idx="10">
                  <c:v>185</c:v>
                </c:pt>
                <c:pt idx="11">
                  <c:v>0.6</c:v>
                </c:pt>
                <c:pt idx="12">
                  <c:v>10.6</c:v>
                </c:pt>
                <c:pt idx="13">
                  <c:v>22</c:v>
                </c:pt>
                <c:pt idx="14">
                  <c:v>35</c:v>
                </c:pt>
                <c:pt idx="15">
                  <c:v>3.8</c:v>
                </c:pt>
                <c:pt idx="16">
                  <c:v>61</c:v>
                </c:pt>
                <c:pt idx="17">
                  <c:v>149</c:v>
                </c:pt>
                <c:pt idx="18">
                  <c:v>0.7</c:v>
                </c:pt>
                <c:pt idx="19">
                  <c:v>94</c:v>
                </c:pt>
                <c:pt idx="20">
                  <c:v>3.2</c:v>
                </c:pt>
                <c:pt idx="21">
                  <c:v>15.1</c:v>
                </c:pt>
                <c:pt idx="22">
                  <c:v>45</c:v>
                </c:pt>
                <c:pt idx="23">
                  <c:v>12.7</c:v>
                </c:pt>
                <c:pt idx="24">
                  <c:v>9.7999999999999989</c:v>
                </c:pt>
                <c:pt idx="25">
                  <c:v>0.3</c:v>
                </c:pt>
                <c:pt idx="26">
                  <c:v>49</c:v>
                </c:pt>
                <c:pt idx="27">
                  <c:v>5.5</c:v>
                </c:pt>
                <c:pt idx="28">
                  <c:v>24</c:v>
                </c:pt>
                <c:pt idx="29">
                  <c:v>0.5</c:v>
                </c:pt>
                <c:pt idx="30">
                  <c:v>2.2000000000000002</c:v>
                </c:pt>
                <c:pt idx="31">
                  <c:v>87</c:v>
                </c:pt>
                <c:pt idx="32">
                  <c:v>19.3</c:v>
                </c:pt>
                <c:pt idx="33">
                  <c:v>4.6999999999999993</c:v>
                </c:pt>
                <c:pt idx="34">
                  <c:v>11.3</c:v>
                </c:pt>
                <c:pt idx="35">
                  <c:v>158</c:v>
                </c:pt>
                <c:pt idx="36">
                  <c:v>243</c:v>
                </c:pt>
                <c:pt idx="37">
                  <c:v>94</c:v>
                </c:pt>
                <c:pt idx="38">
                  <c:v>58</c:v>
                </c:pt>
                <c:pt idx="39">
                  <c:v>10.1</c:v>
                </c:pt>
                <c:pt idx="40">
                  <c:v>23</c:v>
                </c:pt>
                <c:pt idx="41">
                  <c:v>0.3</c:v>
                </c:pt>
                <c:pt idx="42">
                  <c:v>4.5999999999999996</c:v>
                </c:pt>
                <c:pt idx="43">
                  <c:v>1.9</c:v>
                </c:pt>
                <c:pt idx="44">
                  <c:v>397</c:v>
                </c:pt>
                <c:pt idx="45">
                  <c:v>33</c:v>
                </c:pt>
                <c:pt idx="46">
                  <c:v>144</c:v>
                </c:pt>
                <c:pt idx="47">
                  <c:v>34</c:v>
                </c:pt>
                <c:pt idx="48">
                  <c:v>16</c:v>
                </c:pt>
                <c:pt idx="49">
                  <c:v>3.7</c:v>
                </c:pt>
                <c:pt idx="50">
                  <c:v>19.5</c:v>
                </c:pt>
                <c:pt idx="51">
                  <c:v>59</c:v>
                </c:pt>
                <c:pt idx="52">
                  <c:v>0.2</c:v>
                </c:pt>
                <c:pt idx="53">
                  <c:v>24</c:v>
                </c:pt>
                <c:pt idx="54">
                  <c:v>44</c:v>
                </c:pt>
                <c:pt idx="55">
                  <c:v>0</c:v>
                </c:pt>
                <c:pt idx="56">
                  <c:v>3.9999999999999996</c:v>
                </c:pt>
                <c:pt idx="57">
                  <c:v>40</c:v>
                </c:pt>
                <c:pt idx="58">
                  <c:v>178</c:v>
                </c:pt>
                <c:pt idx="59">
                  <c:v>151</c:v>
                </c:pt>
                <c:pt idx="60">
                  <c:v>205</c:v>
                </c:pt>
                <c:pt idx="61">
                  <c:v>8.6</c:v>
                </c:pt>
                <c:pt idx="62">
                  <c:v>2.7</c:v>
                </c:pt>
                <c:pt idx="63">
                  <c:v>8.9</c:v>
                </c:pt>
                <c:pt idx="64">
                  <c:v>2144</c:v>
                </c:pt>
                <c:pt idx="65">
                  <c:v>14.3</c:v>
                </c:pt>
                <c:pt idx="66">
                  <c:v>12.299999999999999</c:v>
                </c:pt>
                <c:pt idx="67">
                  <c:v>10</c:v>
                </c:pt>
                <c:pt idx="68">
                  <c:v>479</c:v>
                </c:pt>
                <c:pt idx="69">
                  <c:v>743</c:v>
                </c:pt>
                <c:pt idx="70">
                  <c:v>20</c:v>
                </c:pt>
                <c:pt idx="71">
                  <c:v>288</c:v>
                </c:pt>
                <c:pt idx="72">
                  <c:v>3.5</c:v>
                </c:pt>
                <c:pt idx="73">
                  <c:v>3.5</c:v>
                </c:pt>
                <c:pt idx="74">
                  <c:v>40</c:v>
                </c:pt>
                <c:pt idx="75">
                  <c:v>5.3</c:v>
                </c:pt>
                <c:pt idx="76">
                  <c:v>5.6</c:v>
                </c:pt>
                <c:pt idx="77">
                  <c:v>127</c:v>
                </c:pt>
                <c:pt idx="78">
                  <c:v>5.2</c:v>
                </c:pt>
                <c:pt idx="79">
                  <c:v>154</c:v>
                </c:pt>
                <c:pt idx="80">
                  <c:v>14</c:v>
                </c:pt>
                <c:pt idx="81">
                  <c:v>2296</c:v>
                </c:pt>
                <c:pt idx="82">
                  <c:v>10.199999999999999</c:v>
                </c:pt>
                <c:pt idx="83">
                  <c:v>32</c:v>
                </c:pt>
                <c:pt idx="84">
                  <c:v>11.1</c:v>
                </c:pt>
                <c:pt idx="85">
                  <c:v>0</c:v>
                </c:pt>
                <c:pt idx="86">
                  <c:v>84</c:v>
                </c:pt>
                <c:pt idx="87">
                  <c:v>18.100000000000001</c:v>
                </c:pt>
                <c:pt idx="88">
                  <c:v>56</c:v>
                </c:pt>
                <c:pt idx="89">
                  <c:v>17.400000000000002</c:v>
                </c:pt>
                <c:pt idx="90">
                  <c:v>18.2</c:v>
                </c:pt>
                <c:pt idx="91">
                  <c:v>430</c:v>
                </c:pt>
                <c:pt idx="92">
                  <c:v>686</c:v>
                </c:pt>
                <c:pt idx="93">
                  <c:v>26</c:v>
                </c:pt>
                <c:pt idx="94">
                  <c:v>22</c:v>
                </c:pt>
                <c:pt idx="95">
                  <c:v>119</c:v>
                </c:pt>
                <c:pt idx="96">
                  <c:v>0</c:v>
                </c:pt>
                <c:pt idx="97">
                  <c:v>53</c:v>
                </c:pt>
                <c:pt idx="98">
                  <c:v>13</c:v>
                </c:pt>
                <c:pt idx="99">
                  <c:v>79</c:v>
                </c:pt>
                <c:pt idx="100">
                  <c:v>227</c:v>
                </c:pt>
                <c:pt idx="101">
                  <c:v>20</c:v>
                </c:pt>
                <c:pt idx="102">
                  <c:v>0.2</c:v>
                </c:pt>
                <c:pt idx="103">
                  <c:v>0.1</c:v>
                </c:pt>
                <c:pt idx="104">
                  <c:v>1145</c:v>
                </c:pt>
                <c:pt idx="105">
                  <c:v>0.4</c:v>
                </c:pt>
                <c:pt idx="106">
                  <c:v>6.4</c:v>
                </c:pt>
                <c:pt idx="107">
                  <c:v>9.8000000000000007</c:v>
                </c:pt>
                <c:pt idx="108">
                  <c:v>36</c:v>
                </c:pt>
                <c:pt idx="109">
                  <c:v>29</c:v>
                </c:pt>
                <c:pt idx="110">
                  <c:v>0.3</c:v>
                </c:pt>
                <c:pt idx="111">
                  <c:v>1.8</c:v>
                </c:pt>
                <c:pt idx="112">
                  <c:v>30</c:v>
                </c:pt>
                <c:pt idx="113">
                  <c:v>37</c:v>
                </c:pt>
                <c:pt idx="114">
                  <c:v>0</c:v>
                </c:pt>
                <c:pt idx="115">
                  <c:v>679</c:v>
                </c:pt>
                <c:pt idx="116">
                  <c:v>51</c:v>
                </c:pt>
                <c:pt idx="117">
                  <c:v>22140</c:v>
                </c:pt>
                <c:pt idx="118">
                  <c:v>26</c:v>
                </c:pt>
                <c:pt idx="119">
                  <c:v>0</c:v>
                </c:pt>
                <c:pt idx="120">
                  <c:v>15.6</c:v>
                </c:pt>
                <c:pt idx="121">
                  <c:v>0</c:v>
                </c:pt>
                <c:pt idx="122">
                  <c:v>0.2</c:v>
                </c:pt>
                <c:pt idx="123">
                  <c:v>0.5</c:v>
                </c:pt>
                <c:pt idx="124">
                  <c:v>165</c:v>
                </c:pt>
                <c:pt idx="125">
                  <c:v>203</c:v>
                </c:pt>
                <c:pt idx="126">
                  <c:v>414</c:v>
                </c:pt>
                <c:pt idx="127">
                  <c:v>280</c:v>
                </c:pt>
                <c:pt idx="128">
                  <c:v>16.100000000000001</c:v>
                </c:pt>
                <c:pt idx="129">
                  <c:v>129</c:v>
                </c:pt>
                <c:pt idx="130">
                  <c:v>0.2</c:v>
                </c:pt>
                <c:pt idx="131">
                  <c:v>2.8</c:v>
                </c:pt>
                <c:pt idx="132">
                  <c:v>40</c:v>
                </c:pt>
                <c:pt idx="133">
                  <c:v>9.1999999999999993</c:v>
                </c:pt>
                <c:pt idx="134">
                  <c:v>46</c:v>
                </c:pt>
                <c:pt idx="135">
                  <c:v>45</c:v>
                </c:pt>
                <c:pt idx="136">
                  <c:v>13</c:v>
                </c:pt>
                <c:pt idx="137">
                  <c:v>36</c:v>
                </c:pt>
                <c:pt idx="138">
                  <c:v>22</c:v>
                </c:pt>
                <c:pt idx="139">
                  <c:v>1.3</c:v>
                </c:pt>
                <c:pt idx="140">
                  <c:v>1649</c:v>
                </c:pt>
                <c:pt idx="141">
                  <c:v>627</c:v>
                </c:pt>
                <c:pt idx="142">
                  <c:v>417</c:v>
                </c:pt>
                <c:pt idx="143">
                  <c:v>0.1</c:v>
                </c:pt>
                <c:pt idx="144">
                  <c:v>0.2</c:v>
                </c:pt>
                <c:pt idx="145">
                  <c:v>2</c:v>
                </c:pt>
                <c:pt idx="146">
                  <c:v>0.5</c:v>
                </c:pt>
                <c:pt idx="147">
                  <c:v>36</c:v>
                </c:pt>
                <c:pt idx="148">
                  <c:v>1.1000000000000001</c:v>
                </c:pt>
                <c:pt idx="149">
                  <c:v>6884</c:v>
                </c:pt>
                <c:pt idx="150">
                  <c:v>23</c:v>
                </c:pt>
                <c:pt idx="151">
                  <c:v>2415</c:v>
                </c:pt>
                <c:pt idx="152">
                  <c:v>38</c:v>
                </c:pt>
                <c:pt idx="153">
                  <c:v>441</c:v>
                </c:pt>
                <c:pt idx="154">
                  <c:v>10816</c:v>
                </c:pt>
                <c:pt idx="155">
                  <c:v>368</c:v>
                </c:pt>
                <c:pt idx="156">
                  <c:v>2149</c:v>
                </c:pt>
                <c:pt idx="157">
                  <c:v>0</c:v>
                </c:pt>
                <c:pt idx="158">
                  <c:v>1.5</c:v>
                </c:pt>
                <c:pt idx="159">
                  <c:v>107</c:v>
                </c:pt>
                <c:pt idx="160">
                  <c:v>28</c:v>
                </c:pt>
                <c:pt idx="161">
                  <c:v>58</c:v>
                </c:pt>
                <c:pt idx="162">
                  <c:v>20</c:v>
                </c:pt>
                <c:pt idx="163">
                  <c:v>141</c:v>
                </c:pt>
                <c:pt idx="164">
                  <c:v>353</c:v>
                </c:pt>
                <c:pt idx="165">
                  <c:v>916</c:v>
                </c:pt>
                <c:pt idx="166">
                  <c:v>1039</c:v>
                </c:pt>
                <c:pt idx="167">
                  <c:v>128</c:v>
                </c:pt>
                <c:pt idx="168">
                  <c:v>7678</c:v>
                </c:pt>
                <c:pt idx="169">
                  <c:v>1654</c:v>
                </c:pt>
                <c:pt idx="170">
                  <c:v>16.5</c:v>
                </c:pt>
                <c:pt idx="171">
                  <c:v>138</c:v>
                </c:pt>
                <c:pt idx="172">
                  <c:v>82</c:v>
                </c:pt>
                <c:pt idx="173">
                  <c:v>1.2</c:v>
                </c:pt>
                <c:pt idx="174">
                  <c:v>2.1</c:v>
                </c:pt>
                <c:pt idx="175">
                  <c:v>0.3</c:v>
                </c:pt>
                <c:pt idx="176">
                  <c:v>573</c:v>
                </c:pt>
                <c:pt idx="177">
                  <c:v>423</c:v>
                </c:pt>
                <c:pt idx="178">
                  <c:v>9.3000000000000007</c:v>
                </c:pt>
                <c:pt idx="179">
                  <c:v>0</c:v>
                </c:pt>
                <c:pt idx="180">
                  <c:v>671</c:v>
                </c:pt>
                <c:pt idx="181">
                  <c:v>0.1</c:v>
                </c:pt>
                <c:pt idx="182">
                  <c:v>1.8000000000000003</c:v>
                </c:pt>
                <c:pt idx="183">
                  <c:v>1750</c:v>
                </c:pt>
                <c:pt idx="184">
                  <c:v>55</c:v>
                </c:pt>
                <c:pt idx="185">
                  <c:v>11.8</c:v>
                </c:pt>
                <c:pt idx="186">
                  <c:v>582</c:v>
                </c:pt>
                <c:pt idx="187">
                  <c:v>421</c:v>
                </c:pt>
                <c:pt idx="188">
                  <c:v>1055</c:v>
                </c:pt>
                <c:pt idx="189">
                  <c:v>55724</c:v>
                </c:pt>
                <c:pt idx="190">
                  <c:v>373</c:v>
                </c:pt>
                <c:pt idx="191">
                  <c:v>53</c:v>
                </c:pt>
                <c:pt idx="192">
                  <c:v>99</c:v>
                </c:pt>
                <c:pt idx="193">
                  <c:v>389</c:v>
                </c:pt>
                <c:pt idx="194">
                  <c:v>21</c:v>
                </c:pt>
                <c:pt idx="195">
                  <c:v>22</c:v>
                </c:pt>
                <c:pt idx="196">
                  <c:v>569</c:v>
                </c:pt>
                <c:pt idx="197">
                  <c:v>461</c:v>
                </c:pt>
                <c:pt idx="198">
                  <c:v>100</c:v>
                </c:pt>
                <c:pt idx="199">
                  <c:v>60</c:v>
                </c:pt>
                <c:pt idx="200">
                  <c:v>256</c:v>
                </c:pt>
                <c:pt idx="201">
                  <c:v>1085</c:v>
                </c:pt>
                <c:pt idx="202">
                  <c:v>253</c:v>
                </c:pt>
                <c:pt idx="203">
                  <c:v>158</c:v>
                </c:pt>
                <c:pt idx="204">
                  <c:v>335</c:v>
                </c:pt>
                <c:pt idx="205">
                  <c:v>615</c:v>
                </c:pt>
                <c:pt idx="206">
                  <c:v>6.4</c:v>
                </c:pt>
                <c:pt idx="207">
                  <c:v>58</c:v>
                </c:pt>
                <c:pt idx="208">
                  <c:v>107</c:v>
                </c:pt>
                <c:pt idx="209">
                  <c:v>34</c:v>
                </c:pt>
                <c:pt idx="210">
                  <c:v>239</c:v>
                </c:pt>
                <c:pt idx="211">
                  <c:v>279</c:v>
                </c:pt>
                <c:pt idx="212">
                  <c:v>443</c:v>
                </c:pt>
                <c:pt idx="213">
                  <c:v>160</c:v>
                </c:pt>
                <c:pt idx="214">
                  <c:v>473</c:v>
                </c:pt>
                <c:pt idx="215">
                  <c:v>770</c:v>
                </c:pt>
                <c:pt idx="216">
                  <c:v>605</c:v>
                </c:pt>
                <c:pt idx="217">
                  <c:v>214</c:v>
                </c:pt>
                <c:pt idx="218">
                  <c:v>150</c:v>
                </c:pt>
                <c:pt idx="219">
                  <c:v>33</c:v>
                </c:pt>
                <c:pt idx="220">
                  <c:v>178</c:v>
                </c:pt>
                <c:pt idx="221">
                  <c:v>218</c:v>
                </c:pt>
                <c:pt idx="222">
                  <c:v>106</c:v>
                </c:pt>
                <c:pt idx="223">
                  <c:v>70</c:v>
                </c:pt>
                <c:pt idx="224">
                  <c:v>8437</c:v>
                </c:pt>
                <c:pt idx="225">
                  <c:v>9.3999999999999986</c:v>
                </c:pt>
                <c:pt idx="226">
                  <c:v>225</c:v>
                </c:pt>
                <c:pt idx="227">
                  <c:v>5087</c:v>
                </c:pt>
                <c:pt idx="228">
                  <c:v>44</c:v>
                </c:pt>
                <c:pt idx="229">
                  <c:v>151</c:v>
                </c:pt>
                <c:pt idx="230">
                  <c:v>120</c:v>
                </c:pt>
                <c:pt idx="231">
                  <c:v>120</c:v>
                </c:pt>
                <c:pt idx="232">
                  <c:v>101</c:v>
                </c:pt>
                <c:pt idx="233">
                  <c:v>295</c:v>
                </c:pt>
                <c:pt idx="234">
                  <c:v>146</c:v>
                </c:pt>
                <c:pt idx="235">
                  <c:v>108</c:v>
                </c:pt>
                <c:pt idx="236">
                  <c:v>2652</c:v>
                </c:pt>
                <c:pt idx="237">
                  <c:v>20</c:v>
                </c:pt>
                <c:pt idx="238">
                  <c:v>348</c:v>
                </c:pt>
                <c:pt idx="239">
                  <c:v>258</c:v>
                </c:pt>
                <c:pt idx="240">
                  <c:v>17</c:v>
                </c:pt>
                <c:pt idx="241">
                  <c:v>33</c:v>
                </c:pt>
                <c:pt idx="242">
                  <c:v>3749</c:v>
                </c:pt>
                <c:pt idx="243">
                  <c:v>283</c:v>
                </c:pt>
                <c:pt idx="244">
                  <c:v>266</c:v>
                </c:pt>
                <c:pt idx="245">
                  <c:v>8.1</c:v>
                </c:pt>
                <c:pt idx="246">
                  <c:v>2124</c:v>
                </c:pt>
                <c:pt idx="247">
                  <c:v>638</c:v>
                </c:pt>
                <c:pt idx="248">
                  <c:v>260</c:v>
                </c:pt>
                <c:pt idx="249">
                  <c:v>96</c:v>
                </c:pt>
                <c:pt idx="250">
                  <c:v>67</c:v>
                </c:pt>
                <c:pt idx="251">
                  <c:v>32</c:v>
                </c:pt>
                <c:pt idx="252">
                  <c:v>4671</c:v>
                </c:pt>
                <c:pt idx="253">
                  <c:v>5515</c:v>
                </c:pt>
                <c:pt idx="254">
                  <c:v>1281</c:v>
                </c:pt>
                <c:pt idx="255">
                  <c:v>6398</c:v>
                </c:pt>
                <c:pt idx="256">
                  <c:v>140</c:v>
                </c:pt>
                <c:pt idx="257">
                  <c:v>43030</c:v>
                </c:pt>
                <c:pt idx="258">
                  <c:v>79</c:v>
                </c:pt>
                <c:pt idx="259">
                  <c:v>20242</c:v>
                </c:pt>
                <c:pt idx="260">
                  <c:v>609</c:v>
                </c:pt>
                <c:pt idx="261">
                  <c:v>220</c:v>
                </c:pt>
                <c:pt idx="262">
                  <c:v>17.600000000000001</c:v>
                </c:pt>
                <c:pt idx="263">
                  <c:v>38</c:v>
                </c:pt>
                <c:pt idx="264">
                  <c:v>6806</c:v>
                </c:pt>
                <c:pt idx="265">
                  <c:v>14189</c:v>
                </c:pt>
                <c:pt idx="266">
                  <c:v>191</c:v>
                </c:pt>
                <c:pt idx="267">
                  <c:v>4.5999999999999996</c:v>
                </c:pt>
                <c:pt idx="268">
                  <c:v>71</c:v>
                </c:pt>
                <c:pt idx="269">
                  <c:v>61</c:v>
                </c:pt>
                <c:pt idx="270">
                  <c:v>1671</c:v>
                </c:pt>
                <c:pt idx="271">
                  <c:v>9</c:v>
                </c:pt>
                <c:pt idx="272">
                  <c:v>1665</c:v>
                </c:pt>
                <c:pt idx="273">
                  <c:v>1013</c:v>
                </c:pt>
                <c:pt idx="274">
                  <c:v>236</c:v>
                </c:pt>
                <c:pt idx="275">
                  <c:v>263</c:v>
                </c:pt>
                <c:pt idx="276">
                  <c:v>103</c:v>
                </c:pt>
                <c:pt idx="277">
                  <c:v>30</c:v>
                </c:pt>
                <c:pt idx="278">
                  <c:v>7201</c:v>
                </c:pt>
                <c:pt idx="279">
                  <c:v>284</c:v>
                </c:pt>
                <c:pt idx="280">
                  <c:v>186</c:v>
                </c:pt>
                <c:pt idx="281">
                  <c:v>26</c:v>
                </c:pt>
                <c:pt idx="282">
                  <c:v>560</c:v>
                </c:pt>
                <c:pt idx="283">
                  <c:v>177</c:v>
                </c:pt>
                <c:pt idx="284">
                  <c:v>503</c:v>
                </c:pt>
                <c:pt idx="285">
                  <c:v>1808</c:v>
                </c:pt>
                <c:pt idx="286">
                  <c:v>48</c:v>
                </c:pt>
                <c:pt idx="287">
                  <c:v>6903</c:v>
                </c:pt>
                <c:pt idx="288">
                  <c:v>459</c:v>
                </c:pt>
                <c:pt idx="289">
                  <c:v>9.1</c:v>
                </c:pt>
                <c:pt idx="290">
                  <c:v>124</c:v>
                </c:pt>
                <c:pt idx="291">
                  <c:v>15.299999999999999</c:v>
                </c:pt>
                <c:pt idx="292">
                  <c:v>276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735784"/>
        <c:axId val="347739704"/>
      </c:scatterChart>
      <c:valAx>
        <c:axId val="347735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739704"/>
        <c:crosses val="autoZero"/>
        <c:crossBetween val="midCat"/>
      </c:valAx>
      <c:valAx>
        <c:axId val="34773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735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Istogramma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Frequenza</c:v>
          </c:tx>
          <c:invertIfNegative val="0"/>
          <c:cat>
            <c:strRef>
              <c:f>Sheet2!$A$2:$A$11</c:f>
              <c:strCache>
                <c:ptCount val="10"/>
                <c:pt idx="0">
                  <c:v>1975</c:v>
                </c:pt>
                <c:pt idx="1">
                  <c:v>1980</c:v>
                </c:pt>
                <c:pt idx="2">
                  <c:v>1985</c:v>
                </c:pt>
                <c:pt idx="3">
                  <c:v>1990</c:v>
                </c:pt>
                <c:pt idx="4">
                  <c:v>1995</c:v>
                </c:pt>
                <c:pt idx="5">
                  <c:v>2000</c:v>
                </c:pt>
                <c:pt idx="6">
                  <c:v>2005</c:v>
                </c:pt>
                <c:pt idx="7">
                  <c:v>2010</c:v>
                </c:pt>
                <c:pt idx="8">
                  <c:v>2015</c:v>
                </c:pt>
                <c:pt idx="9">
                  <c:v>Altro</c:v>
                </c:pt>
              </c:strCache>
            </c:strRef>
          </c:cat>
          <c:val>
            <c:numRef>
              <c:f>Sheet2!$B$2:$B$11</c:f>
              <c:numCache>
                <c:formatCode>General</c:formatCode>
                <c:ptCount val="10"/>
                <c:pt idx="0">
                  <c:v>0</c:v>
                </c:pt>
                <c:pt idx="1">
                  <c:v>33</c:v>
                </c:pt>
                <c:pt idx="2">
                  <c:v>53</c:v>
                </c:pt>
                <c:pt idx="3">
                  <c:v>63</c:v>
                </c:pt>
                <c:pt idx="4">
                  <c:v>58</c:v>
                </c:pt>
                <c:pt idx="5">
                  <c:v>10</c:v>
                </c:pt>
                <c:pt idx="6">
                  <c:v>0</c:v>
                </c:pt>
                <c:pt idx="7">
                  <c:v>63</c:v>
                </c:pt>
                <c:pt idx="8">
                  <c:v>13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21265440"/>
        <c:axId val="421273280"/>
      </c:barChart>
      <c:catAx>
        <c:axId val="42126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1273280"/>
        <c:crosses val="autoZero"/>
        <c:auto val="1"/>
        <c:lblAlgn val="ctr"/>
        <c:lblOffset val="100"/>
        <c:noMultiLvlLbl val="0"/>
      </c:catAx>
      <c:valAx>
        <c:axId val="42127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Frequenza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1265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Sheet3!$A$2:$A$40</c:f>
              <c:numCache>
                <c:formatCode>General</c:formatCode>
                <c:ptCount val="39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</c:numCache>
            </c:numRef>
          </c:xVal>
          <c:yVal>
            <c:numRef>
              <c:f>Sheet3!$B$2:$B$40</c:f>
              <c:numCache>
                <c:formatCode>General</c:formatCode>
                <c:ptCount val="39"/>
                <c:pt idx="0">
                  <c:v>-8.9482908192435229</c:v>
                </c:pt>
                <c:pt idx="1">
                  <c:v>-5.5877717151447799</c:v>
                </c:pt>
                <c:pt idx="2">
                  <c:v>-3.8929862091991505</c:v>
                </c:pt>
                <c:pt idx="3">
                  <c:v>-2.8638983332490344</c:v>
                </c:pt>
                <c:pt idx="4">
                  <c:v>-2.1671373080799894</c:v>
                </c:pt>
                <c:pt idx="5">
                  <c:v>-1.6598070040192654</c:v>
                </c:pt>
                <c:pt idx="6">
                  <c:v>-1.2704382558968241</c:v>
                </c:pt>
                <c:pt idx="7">
                  <c:v>-0.95930625446629125</c:v>
                </c:pt>
                <c:pt idx="8">
                  <c:v>-0.70255745859974361</c:v>
                </c:pt>
                <c:pt idx="9">
                  <c:v>-0.4849945129683722</c:v>
                </c:pt>
                <c:pt idx="10">
                  <c:v>-0.29646866601581856</c:v>
                </c:pt>
                <c:pt idx="11">
                  <c:v>-0.12993718613246735</c:v>
                </c:pt>
                <c:pt idx="12">
                  <c:v>1.9646724957823762E-2</c:v>
                </c:pt>
                <c:pt idx="13">
                  <c:v>0.15600002215023304</c:v>
                </c:pt>
                <c:pt idx="14">
                  <c:v>0.28192616061558484</c:v>
                </c:pt>
                <c:pt idx="15">
                  <c:v>0.39958453167763619</c:v>
                </c:pt>
                <c:pt idx="16">
                  <c:v>0.51067012350772201</c:v>
                </c:pt>
                <c:pt idx="17">
                  <c:v>0.61653648349036416</c:v>
                </c:pt>
                <c:pt idx="18">
                  <c:v>0.71828182845904509</c:v>
                </c:pt>
                <c:pt idx="19">
                  <c:v>0.81681058863158462</c:v>
                </c:pt>
                <c:pt idx="20">
                  <c:v>0.91287820358766669</c:v>
                </c:pt>
                <c:pt idx="21">
                  <c:v>1.0071242692954498</c:v>
                </c:pt>
                <c:pt idx="22">
                  <c:v>1.1000974356137894</c:v>
                </c:pt>
                <c:pt idx="23">
                  <c:v>1.1922743659694732</c:v>
                </c:pt>
                <c:pt idx="24">
                  <c:v>1.2840743597071111</c:v>
                </c:pt>
                <c:pt idx="25">
                  <c:v>1.3758707634792402</c:v>
                </c:pt>
                <c:pt idx="26">
                  <c:v>1.4679999763176248</c:v>
                </c:pt>
                <c:pt idx="27">
                  <c:v>1.5607686311509081</c:v>
                </c:pt>
                <c:pt idx="28">
                  <c:v>1.6544593802253764</c:v>
                </c:pt>
                <c:pt idx="29">
                  <c:v>1.7493356016714463</c:v>
                </c:pt>
                <c:pt idx="30">
                  <c:v>1.8456452652469468</c:v>
                </c:pt>
                <c:pt idx="31">
                  <c:v>1.9436241376847569</c:v>
                </c:pt>
                <c:pt idx="32">
                  <c:v>2.0434984657218824</c:v>
                </c:pt>
                <c:pt idx="33">
                  <c:v>2.1454872434318459</c:v>
                </c:pt>
                <c:pt idx="34">
                  <c:v>2.2498041468960812</c:v>
                </c:pt>
                <c:pt idx="35">
                  <c:v>2.3566592014063956</c:v>
                </c:pt>
                <c:pt idx="36">
                  <c:v>2.4662602327785623</c:v>
                </c:pt>
                <c:pt idx="37">
                  <c:v>2.578814143891945</c:v>
                </c:pt>
                <c:pt idx="38">
                  <c:v>2.6945280494653252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735168"/>
        <c:axId val="458735952"/>
      </c:scatterChart>
      <c:valAx>
        <c:axId val="45873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35952"/>
        <c:crosses val="autoZero"/>
        <c:crossBetween val="midCat"/>
      </c:valAx>
      <c:valAx>
        <c:axId val="45873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73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6464" cy="6041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180974</xdr:rowOff>
    </xdr:from>
    <xdr:to>
      <xdr:col>13</xdr:col>
      <xdr:colOff>247649</xdr:colOff>
      <xdr:row>18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66464" cy="6041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O13" sqref="O13"/>
    </sheetView>
  </sheetViews>
  <sheetFormatPr defaultRowHeight="15" x14ac:dyDescent="0.25"/>
  <sheetData>
    <row r="1" spans="1:2" x14ac:dyDescent="0.25">
      <c r="A1" s="18" t="s">
        <v>252</v>
      </c>
      <c r="B1" s="18" t="s">
        <v>251</v>
      </c>
    </row>
    <row r="2" spans="1:2" x14ac:dyDescent="0.25">
      <c r="A2" s="19">
        <v>1975</v>
      </c>
      <c r="B2" s="16">
        <v>0</v>
      </c>
    </row>
    <row r="3" spans="1:2" x14ac:dyDescent="0.25">
      <c r="A3" s="19">
        <v>1980</v>
      </c>
      <c r="B3" s="16">
        <v>33</v>
      </c>
    </row>
    <row r="4" spans="1:2" x14ac:dyDescent="0.25">
      <c r="A4" s="19">
        <v>1985</v>
      </c>
      <c r="B4" s="16">
        <v>53</v>
      </c>
    </row>
    <row r="5" spans="1:2" x14ac:dyDescent="0.25">
      <c r="A5" s="19">
        <v>1990</v>
      </c>
      <c r="B5" s="16">
        <v>63</v>
      </c>
    </row>
    <row r="6" spans="1:2" x14ac:dyDescent="0.25">
      <c r="A6" s="19">
        <v>1995</v>
      </c>
      <c r="B6" s="16">
        <v>58</v>
      </c>
    </row>
    <row r="7" spans="1:2" x14ac:dyDescent="0.25">
      <c r="A7" s="19">
        <v>2000</v>
      </c>
      <c r="B7" s="16">
        <v>10</v>
      </c>
    </row>
    <row r="8" spans="1:2" x14ac:dyDescent="0.25">
      <c r="A8" s="19">
        <v>2005</v>
      </c>
      <c r="B8" s="16">
        <v>0</v>
      </c>
    </row>
    <row r="9" spans="1:2" x14ac:dyDescent="0.25">
      <c r="A9" s="19">
        <v>2010</v>
      </c>
      <c r="B9" s="16">
        <v>63</v>
      </c>
    </row>
    <row r="10" spans="1:2" x14ac:dyDescent="0.25">
      <c r="A10" s="19">
        <v>2015</v>
      </c>
      <c r="B10" s="16">
        <v>13</v>
      </c>
    </row>
    <row r="11" spans="1:2" ht="15.75" thickBot="1" x14ac:dyDescent="0.3">
      <c r="A11" s="17" t="s">
        <v>250</v>
      </c>
      <c r="B11" s="17">
        <v>0</v>
      </c>
    </row>
  </sheetData>
  <sortState ref="A2:A10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4"/>
  <sheetViews>
    <sheetView topLeftCell="C1" zoomScaleNormal="100" workbookViewId="0">
      <selection activeCell="S3" sqref="S3"/>
    </sheetView>
  </sheetViews>
  <sheetFormatPr defaultRowHeight="15" x14ac:dyDescent="0.25"/>
  <cols>
    <col min="1" max="1" width="45.28515625" style="7" bestFit="1" customWidth="1"/>
    <col min="2" max="2" width="8.5703125" style="8" bestFit="1" customWidth="1"/>
    <col min="3" max="4" width="7.5703125" style="8" bestFit="1" customWidth="1"/>
    <col min="5" max="5" width="14.5703125" style="8" bestFit="1" customWidth="1"/>
    <col min="6" max="6" width="7.140625" style="8" bestFit="1" customWidth="1"/>
    <col min="7" max="7" width="8.140625" style="8" bestFit="1" customWidth="1"/>
    <col min="8" max="8" width="7.28515625" style="8" bestFit="1" customWidth="1"/>
    <col min="9" max="9" width="8.85546875" style="8" bestFit="1" customWidth="1"/>
    <col min="10" max="10" width="7" style="7" bestFit="1" customWidth="1"/>
    <col min="11" max="11" width="5" style="7" bestFit="1" customWidth="1"/>
    <col min="12" max="12" width="8.7109375" style="7" bestFit="1" customWidth="1"/>
    <col min="13" max="13" width="8.85546875" style="7" bestFit="1" customWidth="1"/>
  </cols>
  <sheetData>
    <row r="1" spans="1:17" s="1" customFormat="1" x14ac:dyDescent="0.25">
      <c r="A1" s="2" t="s">
        <v>0</v>
      </c>
      <c r="B1" s="3" t="s">
        <v>249</v>
      </c>
      <c r="C1" s="3" t="s">
        <v>241</v>
      </c>
      <c r="D1" s="3" t="s">
        <v>242</v>
      </c>
      <c r="E1" s="4" t="s">
        <v>248</v>
      </c>
      <c r="F1" s="3" t="s">
        <v>243</v>
      </c>
      <c r="G1" s="3" t="s">
        <v>247</v>
      </c>
      <c r="H1" s="3" t="s">
        <v>244</v>
      </c>
      <c r="I1" s="5" t="s">
        <v>246</v>
      </c>
      <c r="J1" s="6" t="s">
        <v>1</v>
      </c>
      <c r="K1" s="6" t="s">
        <v>2</v>
      </c>
      <c r="L1" s="6" t="s">
        <v>245</v>
      </c>
      <c r="M1" s="6" t="s">
        <v>3</v>
      </c>
      <c r="Q1" s="1" t="s">
        <v>252</v>
      </c>
    </row>
    <row r="2" spans="1:17" x14ac:dyDescent="0.25">
      <c r="A2" s="7" t="s">
        <v>8</v>
      </c>
      <c r="B2" s="8">
        <f>89+13+28+8</f>
        <v>138</v>
      </c>
      <c r="C2" s="8">
        <f>50+12</f>
        <v>62</v>
      </c>
      <c r="D2" s="8">
        <f>4+28+27</f>
        <v>59</v>
      </c>
      <c r="F2" s="8">
        <v>7.2</v>
      </c>
      <c r="G2" s="8">
        <v>11.7</v>
      </c>
      <c r="H2" s="8">
        <v>-8.4</v>
      </c>
      <c r="I2" s="8">
        <v>91</v>
      </c>
      <c r="J2" s="7">
        <v>12</v>
      </c>
      <c r="K2" s="7">
        <v>1977</v>
      </c>
      <c r="L2" s="7">
        <v>12</v>
      </c>
      <c r="M2" s="7" t="s">
        <v>5</v>
      </c>
      <c r="N2" t="str">
        <f>CONCATENATE(LEFT(A2,2),".",RIGHT(A2,1))</f>
        <v>Ca.e</v>
      </c>
      <c r="P2" s="15">
        <f>AVERAGE(F:F)</f>
        <v>232.64349315068492</v>
      </c>
      <c r="Q2">
        <v>1975</v>
      </c>
    </row>
    <row r="3" spans="1:17" x14ac:dyDescent="0.25">
      <c r="A3" s="7" t="s">
        <v>6</v>
      </c>
      <c r="B3" s="8">
        <f>2+0.2+3.1+0.3+5.6+0.2</f>
        <v>11.399999999999999</v>
      </c>
      <c r="C3" s="8">
        <f>0.7+1</f>
        <v>1.7</v>
      </c>
      <c r="D3" s="8">
        <f>2.2+4.5</f>
        <v>6.7</v>
      </c>
      <c r="F3" s="8">
        <v>2.2999999999999998</v>
      </c>
      <c r="G3" s="8">
        <v>0.4</v>
      </c>
      <c r="H3" s="8">
        <v>0.1</v>
      </c>
      <c r="I3" s="8">
        <v>8.8000000000000007</v>
      </c>
      <c r="J3" s="7">
        <v>12</v>
      </c>
      <c r="K3" s="7">
        <v>1977</v>
      </c>
      <c r="L3" s="7">
        <v>12</v>
      </c>
      <c r="M3" s="7" t="s">
        <v>5</v>
      </c>
      <c r="N3" t="str">
        <f t="shared" ref="N3:N66" si="0">CONCATENATE(LEFT(A3,2),".",RIGHT(A3,1))</f>
        <v>Ca.i</v>
      </c>
      <c r="P3">
        <f>_xlfn.VAR.S(F:F)</f>
        <v>676202.14033552224</v>
      </c>
      <c r="Q3">
        <v>1980</v>
      </c>
    </row>
    <row r="4" spans="1:17" x14ac:dyDescent="0.25">
      <c r="A4" s="7" t="s">
        <v>4</v>
      </c>
      <c r="B4" s="8">
        <f>40+35+16+4+13+17</f>
        <v>125</v>
      </c>
      <c r="C4" s="8">
        <f>3+0.2</f>
        <v>3.2</v>
      </c>
      <c r="D4" s="8">
        <v>9</v>
      </c>
      <c r="E4" s="8">
        <v>94</v>
      </c>
      <c r="F4" s="8">
        <v>6.6</v>
      </c>
      <c r="G4" s="8">
        <v>12.5</v>
      </c>
      <c r="H4" s="8">
        <v>0.8</v>
      </c>
      <c r="I4" s="8">
        <f>1+11+26</f>
        <v>38</v>
      </c>
      <c r="J4" s="7">
        <v>12</v>
      </c>
      <c r="K4" s="7">
        <v>1977</v>
      </c>
      <c r="L4" s="7">
        <v>12</v>
      </c>
      <c r="M4" s="7" t="s">
        <v>5</v>
      </c>
      <c r="N4" t="str">
        <f t="shared" si="0"/>
        <v>La.a</v>
      </c>
      <c r="Q4">
        <v>1985</v>
      </c>
    </row>
    <row r="5" spans="1:17" x14ac:dyDescent="0.25">
      <c r="A5" s="7" t="s">
        <v>7</v>
      </c>
      <c r="B5" s="8">
        <f>39+1+1</f>
        <v>41</v>
      </c>
      <c r="C5" s="8">
        <f>0.2</f>
        <v>0.2</v>
      </c>
      <c r="D5" s="8">
        <f>1</f>
        <v>1</v>
      </c>
      <c r="F5" s="8">
        <v>10.4</v>
      </c>
      <c r="G5" s="8">
        <v>24</v>
      </c>
      <c r="H5" s="8">
        <v>2.2999999999999998</v>
      </c>
      <c r="I5" s="8">
        <f>2.6+0.6+4</f>
        <v>7.2</v>
      </c>
      <c r="J5" s="7">
        <v>12</v>
      </c>
      <c r="K5" s="7">
        <v>1977</v>
      </c>
      <c r="L5" s="7">
        <v>12</v>
      </c>
      <c r="M5" s="7" t="s">
        <v>5</v>
      </c>
      <c r="N5" t="str">
        <f t="shared" si="0"/>
        <v>Pi..</v>
      </c>
      <c r="Q5">
        <v>1990</v>
      </c>
    </row>
    <row r="6" spans="1:17" x14ac:dyDescent="0.25">
      <c r="A6" s="7" t="s">
        <v>9</v>
      </c>
      <c r="B6" s="8">
        <f>0.2+0.3+0.7</f>
        <v>1.2</v>
      </c>
      <c r="C6" s="8">
        <v>0</v>
      </c>
      <c r="D6" s="8">
        <f>1.2</f>
        <v>1.2</v>
      </c>
      <c r="G6" s="8">
        <v>0.4</v>
      </c>
      <c r="H6" s="8">
        <v>-0.7</v>
      </c>
      <c r="I6" s="8">
        <f>1.6+0.6+0.4</f>
        <v>2.6</v>
      </c>
      <c r="J6" s="7">
        <v>12</v>
      </c>
      <c r="K6" s="7">
        <v>1978</v>
      </c>
      <c r="L6" s="7">
        <v>12</v>
      </c>
      <c r="M6" s="7" t="s">
        <v>5</v>
      </c>
      <c r="N6" t="str">
        <f t="shared" si="0"/>
        <v>Ac.a</v>
      </c>
      <c r="Q6">
        <v>1995</v>
      </c>
    </row>
    <row r="7" spans="1:17" x14ac:dyDescent="0.25">
      <c r="A7" s="7" t="s">
        <v>17</v>
      </c>
      <c r="B7" s="8">
        <f>3+10+21+1</f>
        <v>35</v>
      </c>
      <c r="C7" s="8">
        <v>0</v>
      </c>
      <c r="D7" s="8">
        <v>0.3</v>
      </c>
      <c r="E7" s="8">
        <v>27</v>
      </c>
      <c r="F7" s="8">
        <v>1.2</v>
      </c>
      <c r="G7" s="8">
        <v>2.7</v>
      </c>
      <c r="H7" s="8">
        <v>0.2</v>
      </c>
      <c r="I7" s="8">
        <f>4+11+1</f>
        <v>16</v>
      </c>
      <c r="J7" s="7">
        <v>12</v>
      </c>
      <c r="K7" s="7">
        <v>1978</v>
      </c>
      <c r="L7" s="7">
        <v>12</v>
      </c>
      <c r="M7" s="7" t="s">
        <v>5</v>
      </c>
      <c r="N7" t="str">
        <f t="shared" si="0"/>
        <v>Ba.a</v>
      </c>
      <c r="Q7">
        <v>2000</v>
      </c>
    </row>
    <row r="8" spans="1:17" x14ac:dyDescent="0.25">
      <c r="A8" s="7" t="s">
        <v>14</v>
      </c>
      <c r="B8" s="8">
        <f>10+2+1.5+1.1+0.5</f>
        <v>15.1</v>
      </c>
      <c r="C8" s="8">
        <f>0.9+0.2</f>
        <v>1.1000000000000001</v>
      </c>
      <c r="D8" s="8">
        <f>0.5+0.7</f>
        <v>1.2</v>
      </c>
      <c r="F8" s="8">
        <v>6</v>
      </c>
      <c r="G8" s="8">
        <v>5.4</v>
      </c>
      <c r="H8" s="8">
        <v>1.4</v>
      </c>
      <c r="I8" s="8">
        <f>1.5+0.8+1.3</f>
        <v>3.5999999999999996</v>
      </c>
      <c r="J8" s="7">
        <v>12</v>
      </c>
      <c r="K8" s="7">
        <v>1978</v>
      </c>
      <c r="L8" s="7">
        <v>12</v>
      </c>
      <c r="M8" s="7" t="s">
        <v>5</v>
      </c>
      <c r="N8" t="str">
        <f t="shared" si="0"/>
        <v xml:space="preserve">CO. </v>
      </c>
      <c r="Q8">
        <v>2005</v>
      </c>
    </row>
    <row r="9" spans="1:17" x14ac:dyDescent="0.25">
      <c r="A9" s="7" t="s">
        <v>18</v>
      </c>
      <c r="B9" s="8">
        <f>0</f>
        <v>0</v>
      </c>
      <c r="C9" s="8">
        <v>0</v>
      </c>
      <c r="D9" s="8">
        <v>0</v>
      </c>
      <c r="F9" s="8">
        <v>0.5</v>
      </c>
      <c r="G9" s="8">
        <v>-0.5</v>
      </c>
      <c r="H9" s="8">
        <v>0</v>
      </c>
      <c r="I9" s="8">
        <v>0.3</v>
      </c>
      <c r="J9" s="7">
        <v>12</v>
      </c>
      <c r="K9" s="7">
        <v>1978</v>
      </c>
      <c r="L9" s="7">
        <v>12</v>
      </c>
      <c r="M9" s="7" t="s">
        <v>5</v>
      </c>
      <c r="N9" t="str">
        <f t="shared" si="0"/>
        <v>Fe.i</v>
      </c>
      <c r="Q9">
        <v>2010</v>
      </c>
    </row>
    <row r="10" spans="1:17" x14ac:dyDescent="0.25">
      <c r="A10" s="7" t="s">
        <v>12</v>
      </c>
      <c r="B10" s="8">
        <f>112+85+27+13+62+10</f>
        <v>309</v>
      </c>
      <c r="C10" s="8">
        <f>64+33</f>
        <v>97</v>
      </c>
      <c r="D10" s="8">
        <f>8+15</f>
        <v>23</v>
      </c>
      <c r="F10" s="8">
        <v>29</v>
      </c>
      <c r="G10" s="8">
        <v>96</v>
      </c>
      <c r="H10" s="8">
        <v>22</v>
      </c>
      <c r="I10" s="8">
        <f>138+7+9</f>
        <v>154</v>
      </c>
      <c r="J10" s="7">
        <v>12</v>
      </c>
      <c r="K10" s="7">
        <v>1978</v>
      </c>
      <c r="L10" s="7">
        <v>12</v>
      </c>
      <c r="M10" s="7" t="s">
        <v>5</v>
      </c>
      <c r="N10" t="str">
        <f t="shared" si="0"/>
        <v>Gr.t</v>
      </c>
      <c r="Q10">
        <v>2015</v>
      </c>
    </row>
    <row r="11" spans="1:17" x14ac:dyDescent="0.25">
      <c r="A11" s="7" t="s">
        <v>10</v>
      </c>
      <c r="B11" s="8">
        <f>157+7</f>
        <v>164</v>
      </c>
      <c r="C11" s="8">
        <f>6.1</f>
        <v>6.1</v>
      </c>
      <c r="D11" s="8">
        <f>10+9</f>
        <v>19</v>
      </c>
      <c r="F11" s="8">
        <v>48</v>
      </c>
      <c r="G11" s="8">
        <v>84</v>
      </c>
      <c r="H11" s="8">
        <v>5.2</v>
      </c>
      <c r="I11" s="8">
        <f>17+1</f>
        <v>18</v>
      </c>
      <c r="J11" s="7">
        <v>6</v>
      </c>
      <c r="K11" s="7">
        <v>1978</v>
      </c>
      <c r="L11" s="7">
        <v>12</v>
      </c>
      <c r="M11" s="7" t="s">
        <v>5</v>
      </c>
      <c r="N11" t="str">
        <f t="shared" si="0"/>
        <v>IF.I</v>
      </c>
    </row>
    <row r="12" spans="1:17" x14ac:dyDescent="0.25">
      <c r="A12" s="7" t="s">
        <v>11</v>
      </c>
      <c r="B12" s="8">
        <f>328+70+46+1+6+98</f>
        <v>549</v>
      </c>
      <c r="C12" s="8">
        <f>234+36</f>
        <v>270</v>
      </c>
      <c r="D12" s="8">
        <f>112+42+31</f>
        <v>185</v>
      </c>
      <c r="F12" s="8">
        <v>40</v>
      </c>
      <c r="H12" s="8">
        <v>6.2</v>
      </c>
      <c r="I12" s="8">
        <f>412+12+1</f>
        <v>425</v>
      </c>
      <c r="J12" s="7">
        <v>12</v>
      </c>
      <c r="K12" s="7">
        <v>1978</v>
      </c>
      <c r="L12" s="7">
        <v>12</v>
      </c>
      <c r="M12" s="7" t="s">
        <v>5</v>
      </c>
      <c r="N12" t="str">
        <f t="shared" si="0"/>
        <v>It.i</v>
      </c>
    </row>
    <row r="13" spans="1:17" x14ac:dyDescent="0.25">
      <c r="A13" s="7" t="s">
        <v>7</v>
      </c>
      <c r="B13" s="8">
        <f>1.6+0.6</f>
        <v>2.2000000000000002</v>
      </c>
      <c r="C13" s="8">
        <v>4.3</v>
      </c>
      <c r="D13" s="8">
        <v>0.6</v>
      </c>
      <c r="F13" s="8">
        <v>18.5</v>
      </c>
      <c r="G13" s="8">
        <v>17.399999999999999</v>
      </c>
      <c r="H13" s="8">
        <v>2.8</v>
      </c>
      <c r="I13" s="8">
        <f>3.5+0.3</f>
        <v>3.8</v>
      </c>
      <c r="J13" s="7">
        <v>12</v>
      </c>
      <c r="K13" s="7">
        <v>1978</v>
      </c>
      <c r="L13" s="7">
        <v>12</v>
      </c>
      <c r="M13" s="7" t="s">
        <v>5</v>
      </c>
      <c r="N13" t="str">
        <f t="shared" si="0"/>
        <v>Pi..</v>
      </c>
    </row>
    <row r="14" spans="1:17" x14ac:dyDescent="0.25">
      <c r="A14" s="7" t="s">
        <v>16</v>
      </c>
      <c r="B14" s="8">
        <f>2.4+5.9+2.2+3.9+0.9</f>
        <v>15.3</v>
      </c>
      <c r="C14" s="8">
        <f>0.2</f>
        <v>0.2</v>
      </c>
      <c r="D14" s="8">
        <f>5.1+2+3.5</f>
        <v>10.6</v>
      </c>
      <c r="F14" s="8">
        <v>2.8</v>
      </c>
      <c r="G14" s="8">
        <v>0.7</v>
      </c>
      <c r="H14" s="8">
        <v>0</v>
      </c>
      <c r="I14" s="8">
        <v>1</v>
      </c>
      <c r="J14" s="7">
        <v>10</v>
      </c>
      <c r="K14" s="7">
        <v>1978</v>
      </c>
      <c r="L14" s="7">
        <v>16</v>
      </c>
      <c r="M14" s="7" t="s">
        <v>5</v>
      </c>
      <c r="N14" t="str">
        <f t="shared" si="0"/>
        <v>SE.M</v>
      </c>
    </row>
    <row r="15" spans="1:17" x14ac:dyDescent="0.25">
      <c r="A15" s="7" t="s">
        <v>15</v>
      </c>
      <c r="B15" s="8">
        <f>31+12+2+3</f>
        <v>48</v>
      </c>
      <c r="C15" s="8">
        <f>17+2</f>
        <v>19</v>
      </c>
      <c r="D15" s="8">
        <f>2+12+8</f>
        <v>22</v>
      </c>
      <c r="F15" s="8">
        <v>5</v>
      </c>
      <c r="G15" s="8">
        <v>1.2</v>
      </c>
      <c r="H15" s="8">
        <v>0</v>
      </c>
      <c r="I15" s="8">
        <f>26+2</f>
        <v>28</v>
      </c>
      <c r="J15" s="7">
        <v>12</v>
      </c>
      <c r="K15" s="7">
        <v>1978</v>
      </c>
      <c r="L15" s="7">
        <v>12</v>
      </c>
      <c r="M15" s="7" t="s">
        <v>5</v>
      </c>
      <c r="N15" t="str">
        <f t="shared" si="0"/>
        <v>Se.e</v>
      </c>
    </row>
    <row r="16" spans="1:17" x14ac:dyDescent="0.25">
      <c r="A16" s="7" t="s">
        <v>13</v>
      </c>
      <c r="B16" s="8">
        <f>79+19+8+8+39+1</f>
        <v>154</v>
      </c>
      <c r="C16" s="8">
        <f>54+16</f>
        <v>70</v>
      </c>
      <c r="D16" s="8">
        <f>13+2+20</f>
        <v>35</v>
      </c>
      <c r="F16" s="8">
        <v>7</v>
      </c>
      <c r="G16" s="8">
        <v>20</v>
      </c>
      <c r="H16" s="8">
        <v>3.5</v>
      </c>
      <c r="I16" s="8">
        <f>81+1+7</f>
        <v>89</v>
      </c>
      <c r="J16" s="7">
        <v>12</v>
      </c>
      <c r="K16" s="7">
        <v>1978</v>
      </c>
      <c r="L16" s="7">
        <v>12</v>
      </c>
      <c r="M16" s="7" t="s">
        <v>5</v>
      </c>
      <c r="N16" t="str">
        <f t="shared" si="0"/>
        <v>SI.s</v>
      </c>
    </row>
    <row r="17" spans="1:14" x14ac:dyDescent="0.25">
      <c r="A17" s="7" t="s">
        <v>9</v>
      </c>
      <c r="B17" s="8">
        <f>37+2+9</f>
        <v>48</v>
      </c>
      <c r="C17" s="8">
        <f>0.8</f>
        <v>0.8</v>
      </c>
      <c r="D17" s="8">
        <f>3.3+0.5</f>
        <v>3.8</v>
      </c>
      <c r="F17" s="8">
        <v>10</v>
      </c>
      <c r="G17" s="8">
        <v>33</v>
      </c>
      <c r="H17" s="8">
        <v>0.6</v>
      </c>
      <c r="I17" s="8">
        <f>2.8+0.6+0.4+0.4</f>
        <v>4.2</v>
      </c>
      <c r="J17" s="7">
        <v>12</v>
      </c>
      <c r="K17" s="7">
        <v>1979</v>
      </c>
      <c r="L17" s="7">
        <v>12</v>
      </c>
      <c r="M17" s="7" t="s">
        <v>5</v>
      </c>
      <c r="N17" t="str">
        <f t="shared" si="0"/>
        <v>Ac.a</v>
      </c>
    </row>
    <row r="18" spans="1:14" x14ac:dyDescent="0.25">
      <c r="A18" s="7" t="s">
        <v>20</v>
      </c>
      <c r="B18" s="8">
        <f>577+544+253+10+11+143+943+174+42</f>
        <v>2697</v>
      </c>
      <c r="C18" s="8">
        <f>25+80</f>
        <v>105</v>
      </c>
      <c r="D18" s="8">
        <f>61</f>
        <v>61</v>
      </c>
      <c r="E18" s="8">
        <v>2185</v>
      </c>
      <c r="F18" s="8">
        <v>100</v>
      </c>
      <c r="G18" s="8">
        <v>122</v>
      </c>
      <c r="H18" s="8">
        <v>31</v>
      </c>
      <c r="I18" s="8">
        <f>1150+217+106</f>
        <v>1473</v>
      </c>
      <c r="J18" s="7">
        <v>12</v>
      </c>
      <c r="K18" s="7">
        <v>1979</v>
      </c>
      <c r="L18" s="9">
        <v>12</v>
      </c>
      <c r="M18" s="7" t="s">
        <v>5</v>
      </c>
      <c r="N18" t="str">
        <f t="shared" si="0"/>
        <v>As.i</v>
      </c>
    </row>
    <row r="19" spans="1:14" x14ac:dyDescent="0.25">
      <c r="A19" s="7" t="s">
        <v>23</v>
      </c>
      <c r="B19" s="8">
        <f>88+19+87+4+2+21+2</f>
        <v>223</v>
      </c>
      <c r="C19" s="8">
        <f>3+0.8+0.7</f>
        <v>4.5</v>
      </c>
      <c r="D19" s="8">
        <f>91+48+10</f>
        <v>149</v>
      </c>
      <c r="F19" s="8">
        <v>22</v>
      </c>
      <c r="G19" s="8">
        <v>31</v>
      </c>
      <c r="H19" s="8">
        <v>6.7</v>
      </c>
      <c r="I19" s="8">
        <v>41</v>
      </c>
      <c r="J19" s="7">
        <v>12</v>
      </c>
      <c r="K19" s="7">
        <v>1979</v>
      </c>
      <c r="L19" s="7">
        <v>12</v>
      </c>
      <c r="M19" s="7" t="s">
        <v>5</v>
      </c>
      <c r="N19" t="str">
        <f t="shared" si="0"/>
        <v>Be.a</v>
      </c>
    </row>
    <row r="20" spans="1:14" x14ac:dyDescent="0.25">
      <c r="A20" s="7" t="s">
        <v>24</v>
      </c>
      <c r="B20" s="8">
        <f>6.5+1.4+0.8+1.1</f>
        <v>9.8000000000000007</v>
      </c>
      <c r="C20" s="8">
        <f>3+0.8+0.1</f>
        <v>3.9</v>
      </c>
      <c r="D20" s="8">
        <f>0.7</f>
        <v>0.7</v>
      </c>
      <c r="F20" s="8">
        <v>1.8</v>
      </c>
      <c r="G20" s="8">
        <v>2.7</v>
      </c>
      <c r="H20" s="8">
        <v>0</v>
      </c>
      <c r="I20" s="8">
        <v>4.4000000000000004</v>
      </c>
      <c r="J20" s="7">
        <v>12</v>
      </c>
      <c r="K20" s="7">
        <v>1979</v>
      </c>
      <c r="L20" s="7">
        <v>12</v>
      </c>
      <c r="M20" s="7" t="s">
        <v>5</v>
      </c>
      <c r="N20" t="str">
        <f t="shared" si="0"/>
        <v>D...</v>
      </c>
    </row>
    <row r="21" spans="1:14" x14ac:dyDescent="0.25">
      <c r="A21" s="7" t="s">
        <v>22</v>
      </c>
      <c r="B21" s="8">
        <f>221+6+16</f>
        <v>243</v>
      </c>
      <c r="C21" s="8">
        <f>2+2.4</f>
        <v>4.4000000000000004</v>
      </c>
      <c r="D21" s="8">
        <f>24+61+9</f>
        <v>94</v>
      </c>
      <c r="F21" s="8">
        <v>77</v>
      </c>
      <c r="G21" s="8">
        <v>62</v>
      </c>
      <c r="H21" s="8">
        <v>5.3</v>
      </c>
      <c r="I21" s="8">
        <f>13+1+1+3</f>
        <v>18</v>
      </c>
      <c r="J21" s="7">
        <v>6</v>
      </c>
      <c r="K21" s="7">
        <v>1979</v>
      </c>
      <c r="L21" s="7">
        <v>8</v>
      </c>
      <c r="M21" s="7" t="s">
        <v>5</v>
      </c>
      <c r="N21" t="str">
        <f t="shared" si="0"/>
        <v>La.e</v>
      </c>
    </row>
    <row r="22" spans="1:14" x14ac:dyDescent="0.25">
      <c r="A22" s="7" t="s">
        <v>21</v>
      </c>
      <c r="B22" s="8">
        <f>6+3+0.8+0.1+0.2+0.6+0.1</f>
        <v>10.799999999999999</v>
      </c>
      <c r="C22" s="8">
        <f>0.7+0.7</f>
        <v>1.4</v>
      </c>
      <c r="D22" s="8">
        <f>1.6+1.5+0.1</f>
        <v>3.2</v>
      </c>
      <c r="F22" s="8">
        <v>3.8</v>
      </c>
      <c r="G22" s="8">
        <v>1.8</v>
      </c>
      <c r="H22" s="8">
        <v>0</v>
      </c>
      <c r="I22" s="8">
        <v>1.8</v>
      </c>
      <c r="J22" s="7">
        <v>12</v>
      </c>
      <c r="K22" s="7">
        <v>1979</v>
      </c>
      <c r="L22" s="7">
        <v>12</v>
      </c>
      <c r="M22" s="7" t="s">
        <v>5</v>
      </c>
      <c r="N22" t="str">
        <f t="shared" si="0"/>
        <v>La.a</v>
      </c>
    </row>
    <row r="23" spans="1:14" x14ac:dyDescent="0.25">
      <c r="A23" s="7" t="s">
        <v>16</v>
      </c>
      <c r="B23" s="8">
        <f>13+1.4+4.3</f>
        <v>18.7</v>
      </c>
      <c r="C23" s="8">
        <f>0.2</f>
        <v>0.2</v>
      </c>
      <c r="D23" s="8">
        <f>5.7+2.4+7</f>
        <v>15.1</v>
      </c>
      <c r="F23" s="8">
        <v>2.8</v>
      </c>
      <c r="G23" s="8">
        <v>0.1</v>
      </c>
      <c r="H23" s="8">
        <v>0</v>
      </c>
      <c r="I23" s="8">
        <f>6.4+0.5</f>
        <v>6.9</v>
      </c>
      <c r="J23" s="7">
        <v>12</v>
      </c>
      <c r="K23" s="7">
        <v>1979</v>
      </c>
      <c r="L23" s="7">
        <v>14</v>
      </c>
      <c r="M23" s="7" t="s">
        <v>5</v>
      </c>
      <c r="N23" t="str">
        <f t="shared" si="0"/>
        <v>SE.M</v>
      </c>
    </row>
    <row r="24" spans="1:14" x14ac:dyDescent="0.25">
      <c r="A24" s="7" t="s">
        <v>19</v>
      </c>
      <c r="B24" s="8">
        <f>164+33+17+1+17+1</f>
        <v>233</v>
      </c>
      <c r="C24" s="8">
        <f>130+3</f>
        <v>133</v>
      </c>
      <c r="D24" s="8">
        <f>10+10+25</f>
        <v>45</v>
      </c>
      <c r="F24" s="8">
        <v>15</v>
      </c>
      <c r="G24" s="8">
        <v>41</v>
      </c>
      <c r="H24" s="8">
        <v>7.1</v>
      </c>
      <c r="I24" s="8">
        <f>152+3</f>
        <v>155</v>
      </c>
      <c r="J24" s="7">
        <v>12</v>
      </c>
      <c r="K24" s="7">
        <v>1979</v>
      </c>
      <c r="L24" s="7">
        <v>12</v>
      </c>
      <c r="M24" s="7" t="s">
        <v>5</v>
      </c>
      <c r="N24" t="str">
        <f t="shared" si="0"/>
        <v>Un.m</v>
      </c>
    </row>
    <row r="25" spans="1:14" x14ac:dyDescent="0.25">
      <c r="A25" s="7" t="s">
        <v>29</v>
      </c>
      <c r="B25" s="8">
        <f>27+2</f>
        <v>29</v>
      </c>
      <c r="C25" s="8">
        <f>6+1.3</f>
        <v>7.3</v>
      </c>
      <c r="D25" s="8">
        <f>0.3+4.6+7.8</f>
        <v>12.7</v>
      </c>
      <c r="F25" s="8">
        <v>7.1</v>
      </c>
      <c r="G25" s="8">
        <v>1.8</v>
      </c>
      <c r="H25" s="8">
        <v>2.4</v>
      </c>
      <c r="I25" s="8">
        <f>2.2+0.3</f>
        <v>2.5</v>
      </c>
      <c r="J25" s="7">
        <v>12</v>
      </c>
      <c r="K25" s="7">
        <v>1980</v>
      </c>
      <c r="L25" s="7">
        <v>12</v>
      </c>
      <c r="M25" s="7" t="s">
        <v>5</v>
      </c>
      <c r="N25" t="str">
        <f t="shared" si="0"/>
        <v>Ac.y</v>
      </c>
    </row>
    <row r="26" spans="1:14" x14ac:dyDescent="0.25">
      <c r="A26" s="7" t="s">
        <v>31</v>
      </c>
      <c r="B26" s="8">
        <f>23+3+1</f>
        <v>27</v>
      </c>
      <c r="C26" s="8">
        <v>12.5</v>
      </c>
      <c r="D26" s="8">
        <f>2.4+6.3+0.4+0.7</f>
        <v>9.7999999999999989</v>
      </c>
      <c r="F26" s="8">
        <v>2</v>
      </c>
      <c r="G26" s="8">
        <v>2.6</v>
      </c>
      <c r="H26" s="8">
        <v>0</v>
      </c>
      <c r="I26" s="8">
        <v>10</v>
      </c>
      <c r="J26" s="7">
        <v>9</v>
      </c>
      <c r="K26" s="7">
        <v>1980</v>
      </c>
      <c r="L26" s="7">
        <v>9</v>
      </c>
      <c r="M26" s="7" t="s">
        <v>5</v>
      </c>
      <c r="N26" t="str">
        <f t="shared" si="0"/>
        <v>Au.e</v>
      </c>
    </row>
    <row r="27" spans="1:14" x14ac:dyDescent="0.25">
      <c r="A27" s="7" t="s">
        <v>25</v>
      </c>
      <c r="B27" s="8">
        <f>26+1</f>
        <v>27</v>
      </c>
      <c r="C27" s="8">
        <f>9.7+3.6</f>
        <v>13.299999999999999</v>
      </c>
      <c r="D27" s="8">
        <f>0.3</f>
        <v>0.3</v>
      </c>
      <c r="F27" s="8">
        <v>3.5</v>
      </c>
      <c r="G27" s="8">
        <v>9.6999999999999993</v>
      </c>
      <c r="H27" s="8">
        <v>0</v>
      </c>
      <c r="I27" s="8">
        <f>8.7</f>
        <v>8.6999999999999993</v>
      </c>
      <c r="J27" s="7">
        <v>12</v>
      </c>
      <c r="K27" s="7">
        <v>1980</v>
      </c>
      <c r="L27" s="7">
        <v>12</v>
      </c>
      <c r="M27" s="7" t="s">
        <v>5</v>
      </c>
      <c r="N27" t="str">
        <f t="shared" si="0"/>
        <v>Au.i</v>
      </c>
    </row>
    <row r="28" spans="1:14" x14ac:dyDescent="0.25">
      <c r="A28" s="7" t="s">
        <v>28</v>
      </c>
      <c r="B28" s="8">
        <f>578+800+3+2603+76+520</f>
        <v>4580</v>
      </c>
      <c r="C28" s="8">
        <f>37+28</f>
        <v>65</v>
      </c>
      <c r="D28" s="8">
        <f>49</f>
        <v>49</v>
      </c>
      <c r="E28" s="8">
        <v>3900</v>
      </c>
      <c r="F28" s="8">
        <v>35</v>
      </c>
      <c r="G28" s="8">
        <v>80</v>
      </c>
      <c r="H28" s="8">
        <v>50</v>
      </c>
      <c r="I28" s="8">
        <f>87+27+445+19</f>
        <v>578</v>
      </c>
      <c r="J28" s="7">
        <v>12</v>
      </c>
      <c r="K28" s="7">
        <v>1980</v>
      </c>
      <c r="L28" s="7">
        <v>12</v>
      </c>
      <c r="M28" s="7" t="s">
        <v>5</v>
      </c>
      <c r="N28" t="str">
        <f t="shared" si="0"/>
        <v>Ba.o</v>
      </c>
    </row>
    <row r="29" spans="1:14" x14ac:dyDescent="0.25">
      <c r="A29" s="7" t="s">
        <v>30</v>
      </c>
      <c r="B29" s="8">
        <f xml:space="preserve"> 71+143+274+10+131</f>
        <v>629</v>
      </c>
      <c r="C29" s="8">
        <f>3.3+3</f>
        <v>6.3</v>
      </c>
      <c r="D29" s="8">
        <f>5.5</f>
        <v>5.5</v>
      </c>
      <c r="E29" s="8">
        <v>486</v>
      </c>
      <c r="F29" s="8">
        <v>3</v>
      </c>
      <c r="G29" s="8">
        <v>22</v>
      </c>
      <c r="H29" s="8">
        <v>3</v>
      </c>
      <c r="I29" s="8">
        <f>16+3+52+5</f>
        <v>76</v>
      </c>
      <c r="J29" s="7">
        <v>12</v>
      </c>
      <c r="K29" s="7">
        <v>1980</v>
      </c>
      <c r="L29" s="9">
        <v>12</v>
      </c>
      <c r="M29" s="7" t="s">
        <v>5</v>
      </c>
      <c r="N29" t="str">
        <f t="shared" si="0"/>
        <v>Ba.e</v>
      </c>
    </row>
    <row r="30" spans="1:14" x14ac:dyDescent="0.25">
      <c r="A30" s="7" t="s">
        <v>26</v>
      </c>
      <c r="B30" s="8">
        <f>14+24+2</f>
        <v>40</v>
      </c>
      <c r="C30" s="8">
        <f>8.1</f>
        <v>8.1</v>
      </c>
      <c r="D30" s="8">
        <f>4+11+7+2</f>
        <v>24</v>
      </c>
      <c r="F30" s="8">
        <v>5.2</v>
      </c>
      <c r="G30" s="8">
        <v>1</v>
      </c>
      <c r="H30" s="8">
        <v>0</v>
      </c>
      <c r="I30" s="8">
        <f>42</f>
        <v>42</v>
      </c>
      <c r="J30" s="7">
        <v>12</v>
      </c>
      <c r="K30" s="7">
        <v>1980</v>
      </c>
      <c r="L30" s="7">
        <v>12</v>
      </c>
      <c r="M30" s="7" t="s">
        <v>5</v>
      </c>
      <c r="N30" t="str">
        <f t="shared" si="0"/>
        <v>Ca.e</v>
      </c>
    </row>
    <row r="31" spans="1:14" x14ac:dyDescent="0.25">
      <c r="A31" s="7" t="s">
        <v>14</v>
      </c>
      <c r="B31" s="8">
        <f>7+55+1+2</f>
        <v>65</v>
      </c>
      <c r="C31" s="8">
        <f>1.2</f>
        <v>1.2</v>
      </c>
      <c r="D31" s="8">
        <f>0.5</f>
        <v>0.5</v>
      </c>
      <c r="F31" s="8">
        <v>13.7</v>
      </c>
      <c r="G31" s="8">
        <v>47</v>
      </c>
      <c r="H31" s="8">
        <v>1.6</v>
      </c>
      <c r="I31" s="8">
        <f>2.2+0.6+3.4</f>
        <v>6.2</v>
      </c>
      <c r="J31" s="7">
        <v>12</v>
      </c>
      <c r="K31" s="7">
        <v>1980</v>
      </c>
      <c r="L31" s="7">
        <v>12</v>
      </c>
      <c r="M31" s="7" t="s">
        <v>5</v>
      </c>
      <c r="N31" t="str">
        <f t="shared" si="0"/>
        <v xml:space="preserve">CO. </v>
      </c>
    </row>
    <row r="32" spans="1:14" x14ac:dyDescent="0.25">
      <c r="A32" s="7" t="s">
        <v>27</v>
      </c>
      <c r="B32" s="8">
        <f>7+34+6+3</f>
        <v>50</v>
      </c>
      <c r="C32" s="8">
        <f>1.1+0.8</f>
        <v>1.9000000000000001</v>
      </c>
      <c r="D32" s="8">
        <f>1.7+0.3+0.2</f>
        <v>2.2000000000000002</v>
      </c>
      <c r="F32" s="8">
        <v>15.7</v>
      </c>
      <c r="G32" s="8">
        <v>29</v>
      </c>
      <c r="H32" s="8">
        <v>3.2</v>
      </c>
      <c r="I32" s="8">
        <f>82+1</f>
        <v>83</v>
      </c>
      <c r="J32" s="7">
        <v>12</v>
      </c>
      <c r="K32" s="7">
        <v>1980</v>
      </c>
      <c r="L32" s="7">
        <v>12</v>
      </c>
      <c r="M32" s="7" t="s">
        <v>5</v>
      </c>
      <c r="N32" t="str">
        <f t="shared" si="0"/>
        <v>Et.t</v>
      </c>
    </row>
    <row r="33" spans="1:14" x14ac:dyDescent="0.25">
      <c r="A33" s="7" t="s">
        <v>12</v>
      </c>
      <c r="B33" s="8">
        <f>121+91+38+14+52+36</f>
        <v>352</v>
      </c>
      <c r="C33" s="8">
        <f>80+11</f>
        <v>91</v>
      </c>
      <c r="D33" s="8">
        <f>32+40+4+11</f>
        <v>87</v>
      </c>
      <c r="F33" s="8">
        <v>29</v>
      </c>
      <c r="G33" s="8">
        <v>112</v>
      </c>
      <c r="H33" s="8">
        <v>21</v>
      </c>
      <c r="I33" s="8">
        <f>163</f>
        <v>163</v>
      </c>
      <c r="J33" s="7">
        <v>12</v>
      </c>
      <c r="K33" s="7">
        <v>1980</v>
      </c>
      <c r="L33" s="7">
        <v>12</v>
      </c>
      <c r="M33" s="7" t="s">
        <v>5</v>
      </c>
      <c r="N33" t="str">
        <f t="shared" si="0"/>
        <v>Gr.t</v>
      </c>
    </row>
    <row r="34" spans="1:14" x14ac:dyDescent="0.25">
      <c r="A34" s="7" t="s">
        <v>32</v>
      </c>
      <c r="B34" s="8">
        <f>211+94+87+46+8+95</f>
        <v>541</v>
      </c>
      <c r="C34" s="8">
        <f>40</f>
        <v>40</v>
      </c>
      <c r="D34" s="8">
        <f>19.3</f>
        <v>19.3</v>
      </c>
      <c r="E34" s="8">
        <v>347</v>
      </c>
      <c r="F34" s="8">
        <v>22</v>
      </c>
      <c r="G34" s="8">
        <v>52</v>
      </c>
      <c r="H34" s="8">
        <v>17.5</v>
      </c>
      <c r="I34" s="8">
        <f>232+48+31+129</f>
        <v>440</v>
      </c>
      <c r="J34" s="7">
        <v>12</v>
      </c>
      <c r="K34" s="7">
        <v>1980</v>
      </c>
      <c r="L34" s="9">
        <v>12</v>
      </c>
      <c r="M34" s="7" t="s">
        <v>5</v>
      </c>
      <c r="N34" t="str">
        <f t="shared" si="0"/>
        <v>To.i</v>
      </c>
    </row>
    <row r="35" spans="1:14" x14ac:dyDescent="0.25">
      <c r="A35" s="7" t="s">
        <v>9</v>
      </c>
      <c r="B35" s="8">
        <f>36+5+1+10</f>
        <v>52</v>
      </c>
      <c r="C35" s="8">
        <f>1</f>
        <v>1</v>
      </c>
      <c r="D35" s="8">
        <f>4.1+0.6</f>
        <v>4.6999999999999993</v>
      </c>
      <c r="F35" s="8">
        <v>10</v>
      </c>
      <c r="G35" s="8">
        <v>34</v>
      </c>
      <c r="H35" s="8">
        <v>2.2999999999999998</v>
      </c>
      <c r="I35" s="8">
        <f>2.3+0.7+0.7</f>
        <v>3.7</v>
      </c>
      <c r="J35" s="7">
        <v>12</v>
      </c>
      <c r="K35" s="7">
        <v>1981</v>
      </c>
      <c r="L35" s="7">
        <v>12</v>
      </c>
      <c r="M35" s="7" t="s">
        <v>5</v>
      </c>
      <c r="N35" t="str">
        <f t="shared" si="0"/>
        <v>Ac.a</v>
      </c>
    </row>
    <row r="36" spans="1:14" x14ac:dyDescent="0.25">
      <c r="A36" s="7" t="s">
        <v>33</v>
      </c>
      <c r="B36" s="8">
        <f>225+490+1+18+942+149</f>
        <v>1825</v>
      </c>
      <c r="C36" s="8">
        <f>7.8+5.2</f>
        <v>13</v>
      </c>
      <c r="D36" s="8">
        <f>11.3</f>
        <v>11.3</v>
      </c>
      <c r="E36" s="8">
        <v>1402</v>
      </c>
      <c r="F36" s="8">
        <v>5</v>
      </c>
      <c r="G36" s="8">
        <v>109</v>
      </c>
      <c r="H36" s="8">
        <v>6.1</v>
      </c>
      <c r="I36" s="8">
        <f>42+13+171+7</f>
        <v>233</v>
      </c>
      <c r="J36" s="7">
        <v>12</v>
      </c>
      <c r="K36" s="7">
        <v>1981</v>
      </c>
      <c r="L36" s="7">
        <v>12</v>
      </c>
      <c r="M36" s="7" t="s">
        <v>5</v>
      </c>
      <c r="N36" t="str">
        <f t="shared" si="0"/>
        <v>Ba.a</v>
      </c>
    </row>
    <row r="37" spans="1:14" x14ac:dyDescent="0.25">
      <c r="A37" s="7" t="s">
        <v>35</v>
      </c>
      <c r="B37" s="8">
        <f>71+11+154+9+48+21+31+15</f>
        <v>360</v>
      </c>
      <c r="C37" s="8">
        <f>45</f>
        <v>45</v>
      </c>
      <c r="D37" s="8">
        <f>11+78+69</f>
        <v>158</v>
      </c>
      <c r="F37" s="8">
        <v>40</v>
      </c>
      <c r="G37" s="8">
        <v>7.4</v>
      </c>
      <c r="H37" s="8">
        <v>4</v>
      </c>
      <c r="I37" s="8">
        <v>206</v>
      </c>
      <c r="J37" s="7">
        <v>12</v>
      </c>
      <c r="K37" s="7">
        <v>1981</v>
      </c>
      <c r="L37" s="7">
        <v>12</v>
      </c>
      <c r="M37" s="7" t="s">
        <v>5</v>
      </c>
      <c r="N37" t="str">
        <f t="shared" si="0"/>
        <v>Co.r</v>
      </c>
    </row>
    <row r="38" spans="1:14" x14ac:dyDescent="0.25">
      <c r="A38" s="7" t="s">
        <v>37</v>
      </c>
      <c r="B38" s="8">
        <f>218+89+86+37+251+2+20</f>
        <v>703</v>
      </c>
      <c r="C38" s="8">
        <f>169</f>
        <v>169</v>
      </c>
      <c r="D38" s="8">
        <f>65+100+78</f>
        <v>243</v>
      </c>
      <c r="F38" s="8">
        <v>54</v>
      </c>
      <c r="G38" s="8">
        <v>35</v>
      </c>
      <c r="H38" s="8">
        <v>38</v>
      </c>
      <c r="I38" s="8">
        <v>389</v>
      </c>
      <c r="J38" s="7">
        <v>12</v>
      </c>
      <c r="K38" s="7">
        <v>1981</v>
      </c>
      <c r="L38" s="7">
        <v>12</v>
      </c>
      <c r="M38" s="7" t="s">
        <v>5</v>
      </c>
      <c r="N38" t="str">
        <f t="shared" si="0"/>
        <v>Fa.a</v>
      </c>
    </row>
    <row r="39" spans="1:14" x14ac:dyDescent="0.25">
      <c r="A39" s="7" t="s">
        <v>12</v>
      </c>
      <c r="B39" s="8">
        <f>148+50+73+66+25+8+2+19</f>
        <v>391</v>
      </c>
      <c r="C39" s="8">
        <f>95</f>
        <v>95</v>
      </c>
      <c r="D39" s="8">
        <f>36+39+19</f>
        <v>94</v>
      </c>
      <c r="F39" s="8">
        <v>29</v>
      </c>
      <c r="G39" s="8">
        <v>118</v>
      </c>
      <c r="H39" s="8">
        <v>21</v>
      </c>
      <c r="I39" s="8">
        <v>198</v>
      </c>
      <c r="J39" s="7">
        <v>12</v>
      </c>
      <c r="K39" s="7">
        <v>1981</v>
      </c>
      <c r="L39" s="7">
        <v>12</v>
      </c>
      <c r="M39" s="7" t="s">
        <v>5</v>
      </c>
      <c r="N39" t="str">
        <f t="shared" si="0"/>
        <v>Gr.t</v>
      </c>
    </row>
    <row r="40" spans="1:14" x14ac:dyDescent="0.25">
      <c r="A40" s="7" t="s">
        <v>10</v>
      </c>
      <c r="B40" s="8">
        <f>231+4+17+71</f>
        <v>323</v>
      </c>
      <c r="C40" s="8">
        <f>29</f>
        <v>29</v>
      </c>
      <c r="D40" s="8">
        <f>1+55+2</f>
        <v>58</v>
      </c>
      <c r="F40" s="8">
        <v>78</v>
      </c>
      <c r="G40" s="8">
        <v>130</v>
      </c>
      <c r="H40" s="8">
        <v>29</v>
      </c>
      <c r="I40" s="8">
        <v>31</v>
      </c>
      <c r="J40" s="7">
        <v>6</v>
      </c>
      <c r="K40" s="7">
        <v>1981</v>
      </c>
      <c r="L40" s="7">
        <v>12</v>
      </c>
      <c r="M40" s="7" t="s">
        <v>5</v>
      </c>
      <c r="N40" t="str">
        <f t="shared" si="0"/>
        <v>IF.I</v>
      </c>
    </row>
    <row r="41" spans="1:14" x14ac:dyDescent="0.25">
      <c r="A41" s="7" t="s">
        <v>38</v>
      </c>
      <c r="B41" s="8">
        <f>30+16+51+26+6+118</f>
        <v>247</v>
      </c>
      <c r="C41" s="8">
        <f>12.5</f>
        <v>12.5</v>
      </c>
      <c r="D41" s="8">
        <f>10.1</f>
        <v>10.1</v>
      </c>
      <c r="E41" s="8">
        <v>111</v>
      </c>
      <c r="F41" s="8">
        <v>6</v>
      </c>
      <c r="G41" s="8">
        <v>15</v>
      </c>
      <c r="H41" s="8">
        <v>4.3</v>
      </c>
      <c r="I41" s="8">
        <f>168+67+14+13</f>
        <v>262</v>
      </c>
      <c r="J41" s="7">
        <v>12</v>
      </c>
      <c r="K41" s="7">
        <v>1981</v>
      </c>
      <c r="L41" s="9">
        <v>12</v>
      </c>
      <c r="M41" s="7" t="s">
        <v>5</v>
      </c>
      <c r="N41" t="str">
        <f t="shared" si="0"/>
        <v>It.i</v>
      </c>
    </row>
    <row r="42" spans="1:14" x14ac:dyDescent="0.25">
      <c r="A42" s="7" t="s">
        <v>36</v>
      </c>
      <c r="B42" s="8">
        <f>65+19+22+1+1+2</f>
        <v>110</v>
      </c>
      <c r="C42" s="8">
        <f>32</f>
        <v>32</v>
      </c>
      <c r="D42" s="8">
        <f>8+12+3</f>
        <v>23</v>
      </c>
      <c r="F42" s="8">
        <v>13</v>
      </c>
      <c r="G42" s="8">
        <v>6.7</v>
      </c>
      <c r="H42" s="8">
        <v>3.8</v>
      </c>
      <c r="I42" s="8">
        <v>78</v>
      </c>
      <c r="J42" s="7">
        <v>12</v>
      </c>
      <c r="K42" s="7">
        <v>1981</v>
      </c>
      <c r="L42" s="7">
        <v>12</v>
      </c>
      <c r="M42" s="7" t="s">
        <v>5</v>
      </c>
      <c r="N42" t="str">
        <f t="shared" si="0"/>
        <v>Li.e</v>
      </c>
    </row>
    <row r="43" spans="1:14" x14ac:dyDescent="0.25">
      <c r="A43" s="7" t="s">
        <v>34</v>
      </c>
      <c r="B43" s="8">
        <f>1.1+1.3+0.2</f>
        <v>2.6000000000000005</v>
      </c>
      <c r="C43" s="8">
        <f>0</f>
        <v>0</v>
      </c>
      <c r="D43" s="8">
        <v>0.3</v>
      </c>
      <c r="F43" s="8">
        <v>2.4</v>
      </c>
      <c r="G43" s="8">
        <v>0.3</v>
      </c>
      <c r="H43" s="8">
        <v>0.2</v>
      </c>
      <c r="I43" s="8">
        <v>0.5</v>
      </c>
      <c r="J43" s="7">
        <v>12</v>
      </c>
      <c r="K43" s="7">
        <v>1981</v>
      </c>
      <c r="L43" s="7">
        <v>12</v>
      </c>
      <c r="M43" s="7" t="s">
        <v>5</v>
      </c>
      <c r="N43" t="str">
        <f t="shared" si="0"/>
        <v>Te.i</v>
      </c>
    </row>
    <row r="44" spans="1:14" x14ac:dyDescent="0.25">
      <c r="A44" s="7" t="s">
        <v>39</v>
      </c>
      <c r="B44" s="8">
        <f>69+141+5+339+29+89</f>
        <v>672</v>
      </c>
      <c r="C44" s="8">
        <f>5.6+8</f>
        <v>13.6</v>
      </c>
      <c r="D44" s="8">
        <f>4.6</f>
        <v>4.5999999999999996</v>
      </c>
      <c r="E44" s="8">
        <v>539</v>
      </c>
      <c r="F44" s="8">
        <v>5.3</v>
      </c>
      <c r="G44" s="8">
        <v>64</v>
      </c>
      <c r="H44" s="8">
        <v>3.6</v>
      </c>
      <c r="I44" s="8">
        <f>16+5+4+77</f>
        <v>102</v>
      </c>
      <c r="J44" s="7">
        <v>12</v>
      </c>
      <c r="K44" s="7">
        <v>1982</v>
      </c>
      <c r="L44" s="7">
        <v>12</v>
      </c>
      <c r="M44" s="7" t="s">
        <v>5</v>
      </c>
      <c r="N44" t="str">
        <f t="shared" si="0"/>
        <v>Ba.o</v>
      </c>
    </row>
    <row r="45" spans="1:14" x14ac:dyDescent="0.25">
      <c r="A45" s="7" t="s">
        <v>41</v>
      </c>
      <c r="B45" s="8">
        <f>9+1+4+8</f>
        <v>22</v>
      </c>
      <c r="C45" s="8">
        <f>0.7</f>
        <v>0.7</v>
      </c>
      <c r="D45" s="8">
        <f>1.5+0.4</f>
        <v>1.9</v>
      </c>
      <c r="F45" s="8">
        <v>10.7</v>
      </c>
      <c r="G45" s="8">
        <v>3.5</v>
      </c>
      <c r="H45" s="8">
        <v>0.2</v>
      </c>
      <c r="I45" s="8">
        <f>0.1+1.1+0.6</f>
        <v>1.8000000000000003</v>
      </c>
      <c r="J45" s="7">
        <v>12</v>
      </c>
      <c r="K45" s="7">
        <v>1982</v>
      </c>
      <c r="L45" s="7">
        <v>12</v>
      </c>
      <c r="M45" s="7" t="s">
        <v>5</v>
      </c>
      <c r="N45" t="str">
        <f t="shared" si="0"/>
        <v>Bo.a</v>
      </c>
    </row>
    <row r="46" spans="1:14" x14ac:dyDescent="0.25">
      <c r="A46" s="7" t="s">
        <v>43</v>
      </c>
      <c r="B46" s="8">
        <f>148+405+3+17+35</f>
        <v>608</v>
      </c>
      <c r="C46" s="8">
        <f>73</f>
        <v>73</v>
      </c>
      <c r="D46" s="8">
        <f>180+217</f>
        <v>397</v>
      </c>
      <c r="F46" s="8">
        <v>94</v>
      </c>
      <c r="G46" s="8">
        <v>39</v>
      </c>
      <c r="H46" s="8">
        <v>35</v>
      </c>
      <c r="I46" s="8">
        <f>6+82+5</f>
        <v>93</v>
      </c>
      <c r="J46" s="7">
        <v>12</v>
      </c>
      <c r="K46" s="7">
        <v>1982</v>
      </c>
      <c r="L46" s="7">
        <v>12</v>
      </c>
      <c r="M46" s="7" t="s">
        <v>5</v>
      </c>
      <c r="N46" t="str">
        <f t="shared" si="0"/>
        <v>Fi.e</v>
      </c>
    </row>
    <row r="47" spans="1:14" x14ac:dyDescent="0.25">
      <c r="A47" s="7" t="s">
        <v>50</v>
      </c>
      <c r="B47" s="8">
        <f>219+42+1+5</f>
        <v>267</v>
      </c>
      <c r="C47" s="8">
        <f>4.6</f>
        <v>4.5999999999999996</v>
      </c>
      <c r="D47" s="8">
        <f>33</f>
        <v>33</v>
      </c>
      <c r="F47" s="8">
        <v>15</v>
      </c>
      <c r="G47" s="8">
        <v>205</v>
      </c>
      <c r="H47" s="8">
        <v>10.6</v>
      </c>
      <c r="I47" s="8">
        <f>14+3</f>
        <v>17</v>
      </c>
      <c r="J47" s="7">
        <v>6</v>
      </c>
      <c r="K47" s="7">
        <v>1982</v>
      </c>
      <c r="L47" s="7">
        <v>12</v>
      </c>
      <c r="M47" s="7" t="s">
        <v>5</v>
      </c>
      <c r="N47" t="str">
        <f t="shared" si="0"/>
        <v>Fr.i</v>
      </c>
    </row>
    <row r="48" spans="1:14" x14ac:dyDescent="0.25">
      <c r="A48" s="7" t="s">
        <v>12</v>
      </c>
      <c r="B48" s="8">
        <f>233+56+109+95+9+14+2+22</f>
        <v>540</v>
      </c>
      <c r="C48" s="8">
        <f>111</f>
        <v>111</v>
      </c>
      <c r="D48" s="8">
        <f>38+34+16+26+30</f>
        <v>144</v>
      </c>
      <c r="F48" s="8">
        <v>29</v>
      </c>
      <c r="G48" s="8">
        <v>227</v>
      </c>
      <c r="H48" s="8">
        <v>14.8</v>
      </c>
      <c r="I48" s="8">
        <v>231</v>
      </c>
      <c r="J48" s="7">
        <v>12</v>
      </c>
      <c r="K48" s="7">
        <v>1982</v>
      </c>
      <c r="L48" s="7">
        <v>12</v>
      </c>
      <c r="M48" s="7" t="s">
        <v>5</v>
      </c>
      <c r="N48" t="str">
        <f t="shared" si="0"/>
        <v>Gr.t</v>
      </c>
    </row>
    <row r="49" spans="1:14" x14ac:dyDescent="0.25">
      <c r="A49" s="7" t="s">
        <v>45</v>
      </c>
      <c r="B49" s="8">
        <f>15+6+21+2+6+2+1+1</f>
        <v>54</v>
      </c>
      <c r="C49" s="8">
        <f>8</f>
        <v>8</v>
      </c>
      <c r="D49" s="8">
        <f>6+5+6+11+6</f>
        <v>34</v>
      </c>
      <c r="F49" s="8">
        <v>3.1</v>
      </c>
      <c r="G49" s="8">
        <v>8.1999999999999993</v>
      </c>
      <c r="H49" s="8">
        <v>0</v>
      </c>
      <c r="I49" s="8">
        <v>88</v>
      </c>
      <c r="J49" s="7">
        <v>12</v>
      </c>
      <c r="K49" s="7">
        <v>1982</v>
      </c>
      <c r="L49" s="7">
        <v>12</v>
      </c>
      <c r="M49" s="7" t="s">
        <v>5</v>
      </c>
      <c r="N49" t="str">
        <f t="shared" si="0"/>
        <v>Ma.s</v>
      </c>
    </row>
    <row r="50" spans="1:14" x14ac:dyDescent="0.25">
      <c r="A50" s="7" t="s">
        <v>44</v>
      </c>
      <c r="B50" s="8">
        <f>18+4+7+28+8+3+2+2</f>
        <v>72</v>
      </c>
      <c r="C50" s="8">
        <f>3.6</f>
        <v>3.6</v>
      </c>
      <c r="D50" s="8">
        <f>2.6+6+1.4+4.3+1.7</f>
        <v>16</v>
      </c>
      <c r="F50" s="8">
        <v>26</v>
      </c>
      <c r="G50" s="8">
        <v>10</v>
      </c>
      <c r="H50" s="8">
        <v>0</v>
      </c>
      <c r="I50" s="8">
        <v>23</v>
      </c>
      <c r="J50" s="7">
        <v>12</v>
      </c>
      <c r="K50" s="7">
        <v>1982</v>
      </c>
      <c r="L50" s="7">
        <v>12</v>
      </c>
      <c r="M50" s="7" t="s">
        <v>5</v>
      </c>
      <c r="N50" t="str">
        <f t="shared" si="0"/>
        <v>Pa.i</v>
      </c>
    </row>
    <row r="51" spans="1:14" x14ac:dyDescent="0.25">
      <c r="A51" s="7" t="s">
        <v>47</v>
      </c>
      <c r="B51" s="8">
        <f>8.7+1.7</f>
        <v>10.399999999999999</v>
      </c>
      <c r="C51" s="8">
        <v>0.3</v>
      </c>
      <c r="D51" s="8">
        <f>3.7</f>
        <v>3.7</v>
      </c>
      <c r="F51" s="8">
        <v>2</v>
      </c>
      <c r="G51" s="8">
        <v>0.7</v>
      </c>
      <c r="H51" s="8">
        <v>0.6</v>
      </c>
      <c r="I51" s="8">
        <v>1.7</v>
      </c>
      <c r="J51" s="7">
        <v>12</v>
      </c>
      <c r="K51" s="7">
        <v>1982</v>
      </c>
      <c r="L51" s="7">
        <v>12</v>
      </c>
      <c r="M51" s="7" t="s">
        <v>5</v>
      </c>
      <c r="N51" t="str">
        <f t="shared" si="0"/>
        <v>Re..</v>
      </c>
    </row>
    <row r="52" spans="1:14" x14ac:dyDescent="0.25">
      <c r="A52" s="7" t="s">
        <v>48</v>
      </c>
      <c r="B52" s="8">
        <f>52+15+5+4+17+14+7</f>
        <v>114</v>
      </c>
      <c r="C52" s="8">
        <v>0.1</v>
      </c>
      <c r="D52" s="8">
        <f>2.4+1.6+4+11.5</f>
        <v>19.5</v>
      </c>
      <c r="F52" s="8">
        <v>26</v>
      </c>
      <c r="G52" s="8">
        <v>53</v>
      </c>
      <c r="H52" s="8">
        <v>2.8</v>
      </c>
      <c r="I52" s="8">
        <v>20</v>
      </c>
      <c r="J52" s="7">
        <v>12</v>
      </c>
      <c r="K52" s="7">
        <v>1982</v>
      </c>
      <c r="L52" s="7">
        <v>12</v>
      </c>
      <c r="M52" s="7" t="s">
        <v>5</v>
      </c>
      <c r="N52" t="str">
        <f t="shared" si="0"/>
        <v>Ri.i</v>
      </c>
    </row>
    <row r="53" spans="1:14" x14ac:dyDescent="0.25">
      <c r="A53" s="7" t="s">
        <v>46</v>
      </c>
      <c r="B53" s="8">
        <f>427+366+467+95+238+390</f>
        <v>1983</v>
      </c>
      <c r="C53" s="8">
        <v>122</v>
      </c>
      <c r="D53" s="8">
        <f>59</f>
        <v>59</v>
      </c>
      <c r="F53" s="8">
        <v>65</v>
      </c>
      <c r="G53" s="8">
        <v>259</v>
      </c>
      <c r="H53" s="8">
        <v>12</v>
      </c>
      <c r="I53" s="8">
        <f>1014+215+134</f>
        <v>1363</v>
      </c>
      <c r="J53" s="7">
        <v>12</v>
      </c>
      <c r="K53" s="7">
        <v>1982</v>
      </c>
      <c r="L53" s="7">
        <v>12</v>
      </c>
      <c r="M53" s="7" t="s">
        <v>5</v>
      </c>
      <c r="N53" t="str">
        <f t="shared" si="0"/>
        <v>Ri.)</v>
      </c>
    </row>
    <row r="54" spans="1:14" x14ac:dyDescent="0.25">
      <c r="A54" s="7" t="s">
        <v>40</v>
      </c>
      <c r="B54" s="8">
        <f>4.4</f>
        <v>4.4000000000000004</v>
      </c>
      <c r="C54" s="8">
        <v>0.3</v>
      </c>
      <c r="D54" s="8">
        <f>0.2</f>
        <v>0.2</v>
      </c>
      <c r="F54" s="8">
        <v>1.1000000000000001</v>
      </c>
      <c r="G54" s="8">
        <v>2.6</v>
      </c>
      <c r="H54" s="8">
        <v>0.1</v>
      </c>
      <c r="I54" s="8">
        <v>0.4</v>
      </c>
      <c r="J54" s="7">
        <v>12</v>
      </c>
      <c r="K54" s="7">
        <v>1982</v>
      </c>
      <c r="L54" s="7">
        <v>12</v>
      </c>
      <c r="M54" s="7" t="s">
        <v>5</v>
      </c>
      <c r="N54" t="str">
        <f t="shared" si="0"/>
        <v>Sa.p</v>
      </c>
    </row>
    <row r="55" spans="1:14" x14ac:dyDescent="0.25">
      <c r="A55" s="7" t="s">
        <v>49</v>
      </c>
      <c r="B55" s="8">
        <f>35+12+10</f>
        <v>57</v>
      </c>
      <c r="C55" s="8">
        <v>2.2000000000000002</v>
      </c>
      <c r="D55" s="8">
        <f>5+19</f>
        <v>24</v>
      </c>
      <c r="F55" s="8">
        <v>8</v>
      </c>
      <c r="G55" s="8">
        <v>18.600000000000001</v>
      </c>
      <c r="H55" s="8">
        <v>0</v>
      </c>
      <c r="I55" s="8">
        <f>6.5+2.5+1.7</f>
        <v>10.7</v>
      </c>
      <c r="J55" s="7">
        <v>12</v>
      </c>
      <c r="K55" s="7">
        <v>1982</v>
      </c>
      <c r="L55" s="7">
        <v>12</v>
      </c>
      <c r="M55" s="7" t="s">
        <v>5</v>
      </c>
      <c r="N55" t="str">
        <f t="shared" si="0"/>
        <v>SA.G</v>
      </c>
    </row>
    <row r="56" spans="1:14" x14ac:dyDescent="0.25">
      <c r="A56" s="7" t="s">
        <v>42</v>
      </c>
      <c r="B56" s="8">
        <f>177+6+19+1+3+5</f>
        <v>211</v>
      </c>
      <c r="C56" s="8">
        <v>10</v>
      </c>
      <c r="D56" s="8">
        <f>35+9</f>
        <v>44</v>
      </c>
      <c r="F56" s="8">
        <v>71</v>
      </c>
      <c r="G56" s="8">
        <v>80</v>
      </c>
      <c r="H56" s="8">
        <v>2.5</v>
      </c>
      <c r="I56" s="8">
        <f>4.8+3+4.2+4</f>
        <v>16</v>
      </c>
      <c r="J56" s="7">
        <v>6</v>
      </c>
      <c r="K56" s="7">
        <v>1982</v>
      </c>
      <c r="L56" s="7">
        <v>12</v>
      </c>
      <c r="M56" s="7" t="s">
        <v>5</v>
      </c>
      <c r="N56" t="str">
        <f t="shared" si="0"/>
        <v>SM.a</v>
      </c>
    </row>
    <row r="57" spans="1:14" x14ac:dyDescent="0.25">
      <c r="A57" s="7" t="s">
        <v>34</v>
      </c>
      <c r="B57" s="8">
        <f>1.1+2+0.2</f>
        <v>3.3000000000000003</v>
      </c>
      <c r="C57" s="8">
        <v>0</v>
      </c>
      <c r="D57" s="8">
        <v>0</v>
      </c>
      <c r="F57" s="8">
        <v>2.4</v>
      </c>
      <c r="G57" s="8">
        <v>0.4</v>
      </c>
      <c r="H57" s="8">
        <v>0.4</v>
      </c>
      <c r="I57" s="8">
        <f>0.1+0.4+0.3</f>
        <v>0.8</v>
      </c>
      <c r="J57" s="7">
        <v>12</v>
      </c>
      <c r="K57" s="7">
        <v>1982</v>
      </c>
      <c r="L57" s="7">
        <v>12</v>
      </c>
      <c r="M57" s="7" t="s">
        <v>5</v>
      </c>
      <c r="N57" t="str">
        <f t="shared" si="0"/>
        <v>Te.i</v>
      </c>
    </row>
    <row r="58" spans="1:14" x14ac:dyDescent="0.25">
      <c r="A58" s="7" t="s">
        <v>51</v>
      </c>
      <c r="B58" s="8">
        <f>24+2</f>
        <v>26</v>
      </c>
      <c r="C58" s="8">
        <v>0</v>
      </c>
      <c r="D58" s="8">
        <f>1.2+2.4+0.4</f>
        <v>3.9999999999999996</v>
      </c>
      <c r="F58" s="8">
        <v>6.3</v>
      </c>
      <c r="G58" s="8">
        <v>14.1</v>
      </c>
      <c r="H58" s="8">
        <v>1</v>
      </c>
      <c r="I58" s="8">
        <f>4.2+2+0.6</f>
        <v>6.8</v>
      </c>
      <c r="J58" s="7">
        <v>12</v>
      </c>
      <c r="K58" s="7">
        <v>1983</v>
      </c>
      <c r="L58" s="7">
        <v>12</v>
      </c>
      <c r="M58" s="7" t="s">
        <v>5</v>
      </c>
      <c r="N58" t="str">
        <f t="shared" si="0"/>
        <v>Ae.s</v>
      </c>
    </row>
    <row r="59" spans="1:14" x14ac:dyDescent="0.25">
      <c r="A59" s="7" t="s">
        <v>53</v>
      </c>
      <c r="B59" s="8">
        <f>15+15+15+10+12+2+3</f>
        <v>72</v>
      </c>
      <c r="C59" s="8">
        <v>7</v>
      </c>
      <c r="D59" s="8">
        <f>2+19+8+9+2</f>
        <v>40</v>
      </c>
      <c r="F59" s="8">
        <v>7</v>
      </c>
      <c r="G59" s="8">
        <v>15</v>
      </c>
      <c r="H59" s="8">
        <v>0.8</v>
      </c>
      <c r="I59" s="8">
        <v>52</v>
      </c>
      <c r="J59" s="7">
        <v>12</v>
      </c>
      <c r="K59" s="7">
        <v>1983</v>
      </c>
      <c r="L59" s="7">
        <v>12</v>
      </c>
      <c r="M59" s="7" t="s">
        <v>5</v>
      </c>
      <c r="N59" t="str">
        <f t="shared" si="0"/>
        <v>El.a</v>
      </c>
    </row>
    <row r="60" spans="1:14" x14ac:dyDescent="0.25">
      <c r="A60" s="7" t="s">
        <v>54</v>
      </c>
      <c r="B60" s="8">
        <f>188+9+7+66+5+1+13+28</f>
        <v>317</v>
      </c>
      <c r="C60" s="8">
        <v>25</v>
      </c>
      <c r="D60" s="8">
        <f>36+40+37+32+33</f>
        <v>178</v>
      </c>
      <c r="F60" s="8">
        <v>3.2</v>
      </c>
      <c r="G60" s="8">
        <v>110</v>
      </c>
      <c r="H60" s="8">
        <v>27</v>
      </c>
      <c r="I60" s="8">
        <v>27</v>
      </c>
      <c r="J60" s="7">
        <v>12</v>
      </c>
      <c r="K60" s="7">
        <v>1983</v>
      </c>
      <c r="L60" s="7">
        <v>12</v>
      </c>
      <c r="M60" s="7" t="s">
        <v>5</v>
      </c>
      <c r="N60" t="str">
        <f t="shared" si="0"/>
        <v>Fe.o</v>
      </c>
    </row>
    <row r="61" spans="1:14" x14ac:dyDescent="0.25">
      <c r="A61" s="7" t="s">
        <v>12</v>
      </c>
      <c r="B61" s="8">
        <f>241+61+98+76+4+1+44</f>
        <v>525</v>
      </c>
      <c r="C61" s="8">
        <f>127</f>
        <v>127</v>
      </c>
      <c r="D61" s="8">
        <f>36+32+23+26+34</f>
        <v>151</v>
      </c>
      <c r="F61" s="8">
        <v>29</v>
      </c>
      <c r="G61" s="8">
        <v>192</v>
      </c>
      <c r="H61" s="8">
        <v>10.8</v>
      </c>
      <c r="I61" s="8">
        <v>272</v>
      </c>
      <c r="J61" s="7">
        <v>12</v>
      </c>
      <c r="K61" s="7">
        <v>1983</v>
      </c>
      <c r="L61" s="7">
        <v>12</v>
      </c>
      <c r="M61" s="7" t="s">
        <v>5</v>
      </c>
      <c r="N61" t="str">
        <f t="shared" si="0"/>
        <v>Gr.t</v>
      </c>
    </row>
    <row r="62" spans="1:14" x14ac:dyDescent="0.25">
      <c r="A62" s="7" t="s">
        <v>55</v>
      </c>
      <c r="B62" s="8">
        <f>292+31+8+3+16+25</f>
        <v>375</v>
      </c>
      <c r="C62" s="8">
        <v>127</v>
      </c>
      <c r="D62" s="8">
        <f>3+196+6</f>
        <v>205</v>
      </c>
      <c r="F62" s="8">
        <v>11.5</v>
      </c>
      <c r="G62" s="8">
        <v>0</v>
      </c>
      <c r="H62" s="8">
        <v>25</v>
      </c>
      <c r="I62" s="8">
        <v>120</v>
      </c>
      <c r="J62" s="7">
        <v>12</v>
      </c>
      <c r="K62" s="7">
        <v>1983</v>
      </c>
      <c r="L62" s="9">
        <v>12</v>
      </c>
      <c r="M62" s="7" t="s">
        <v>5</v>
      </c>
      <c r="N62" t="str">
        <f t="shared" si="0"/>
        <v>Na.a</v>
      </c>
    </row>
    <row r="63" spans="1:14" x14ac:dyDescent="0.25">
      <c r="A63" s="7" t="s">
        <v>52</v>
      </c>
      <c r="B63" s="8">
        <f>89+3+5+11</f>
        <v>108</v>
      </c>
      <c r="C63" s="8">
        <v>2.7</v>
      </c>
      <c r="D63" s="8">
        <f>8+0.6</f>
        <v>8.6</v>
      </c>
      <c r="F63" s="8">
        <v>8.1999999999999993</v>
      </c>
      <c r="G63" s="8">
        <v>79</v>
      </c>
      <c r="H63" s="8">
        <v>3.5</v>
      </c>
      <c r="I63" s="8">
        <f>3.4+6.1+0.5</f>
        <v>10</v>
      </c>
      <c r="J63" s="7">
        <v>12</v>
      </c>
      <c r="K63" s="7">
        <v>1983</v>
      </c>
      <c r="L63" s="9">
        <v>12</v>
      </c>
      <c r="M63" s="7" t="s">
        <v>5</v>
      </c>
      <c r="N63" t="str">
        <f t="shared" si="0"/>
        <v>Vi.i</v>
      </c>
    </row>
    <row r="64" spans="1:14" x14ac:dyDescent="0.25">
      <c r="A64" s="7" t="s">
        <v>56</v>
      </c>
      <c r="B64" s="8">
        <f>26+5+51+12+13+36</f>
        <v>143</v>
      </c>
      <c r="C64" s="8">
        <f>5.4</f>
        <v>5.4</v>
      </c>
      <c r="D64" s="8">
        <v>2.7</v>
      </c>
      <c r="E64" s="8">
        <v>93</v>
      </c>
      <c r="F64" s="8">
        <v>2.5</v>
      </c>
      <c r="G64" s="8">
        <v>18.600000000000001</v>
      </c>
      <c r="H64" s="8">
        <v>1.4</v>
      </c>
      <c r="I64" s="8">
        <f>83+13+10</f>
        <v>106</v>
      </c>
      <c r="J64" s="7">
        <v>12</v>
      </c>
      <c r="K64" s="7">
        <v>1983</v>
      </c>
      <c r="L64" s="7">
        <v>12</v>
      </c>
      <c r="M64" s="7" t="s">
        <v>5</v>
      </c>
      <c r="N64" t="str">
        <f t="shared" si="0"/>
        <v>Vi.i</v>
      </c>
    </row>
    <row r="65" spans="1:14" x14ac:dyDescent="0.25">
      <c r="A65" s="7" t="s">
        <v>57</v>
      </c>
      <c r="B65" s="8">
        <f>22+3+8+3</f>
        <v>36</v>
      </c>
      <c r="C65" s="8">
        <f>14</f>
        <v>14</v>
      </c>
      <c r="D65" s="8">
        <f>3.8+4.2+0.9</f>
        <v>8.9</v>
      </c>
      <c r="F65" s="8">
        <v>2.2999999999999998</v>
      </c>
      <c r="G65" s="8">
        <v>11</v>
      </c>
      <c r="H65" s="8">
        <v>1</v>
      </c>
      <c r="I65" s="8">
        <v>9.3000000000000007</v>
      </c>
      <c r="J65" s="7">
        <v>12</v>
      </c>
      <c r="K65" s="7">
        <v>1984</v>
      </c>
      <c r="L65" s="7">
        <v>12</v>
      </c>
      <c r="M65" s="7" t="s">
        <v>5</v>
      </c>
      <c r="N65" t="str">
        <f t="shared" si="0"/>
        <v>Ac.a</v>
      </c>
    </row>
    <row r="66" spans="1:14" x14ac:dyDescent="0.25">
      <c r="A66" s="7" t="s">
        <v>58</v>
      </c>
      <c r="B66" s="8">
        <f>2169+95+327+70+19+191+199+129</f>
        <v>3199</v>
      </c>
      <c r="C66" s="8">
        <v>475</v>
      </c>
      <c r="D66" s="8">
        <f>313+1076+338+417</f>
        <v>2144</v>
      </c>
      <c r="F66" s="8">
        <v>281</v>
      </c>
      <c r="G66" s="8">
        <v>189</v>
      </c>
      <c r="H66" s="8">
        <v>21</v>
      </c>
      <c r="I66" s="8">
        <v>2939</v>
      </c>
      <c r="J66" s="7">
        <v>12</v>
      </c>
      <c r="K66" s="7">
        <v>1984</v>
      </c>
      <c r="L66" s="7">
        <v>12</v>
      </c>
      <c r="M66" s="7" t="s">
        <v>5</v>
      </c>
      <c r="N66" t="str">
        <f t="shared" si="0"/>
        <v>Al.a</v>
      </c>
    </row>
    <row r="67" spans="1:14" x14ac:dyDescent="0.25">
      <c r="A67" s="7" t="s">
        <v>31</v>
      </c>
      <c r="B67" s="8">
        <f>47+4+2</f>
        <v>53</v>
      </c>
      <c r="C67" s="8">
        <f>29</f>
        <v>29</v>
      </c>
      <c r="D67" s="8">
        <f>8.3+2.7+1+2.3</f>
        <v>14.3</v>
      </c>
      <c r="F67" s="8">
        <v>2</v>
      </c>
      <c r="G67" s="8">
        <v>9.1</v>
      </c>
      <c r="H67" s="8">
        <v>0.1</v>
      </c>
      <c r="I67" s="8">
        <v>29</v>
      </c>
      <c r="J67" s="7">
        <v>12</v>
      </c>
      <c r="K67" s="7">
        <v>1984</v>
      </c>
      <c r="L67" s="7">
        <v>12</v>
      </c>
      <c r="M67" s="7" t="s">
        <v>5</v>
      </c>
      <c r="N67" t="str">
        <f t="shared" ref="N67:N130" si="1">CONCATENATE(LEFT(A67,2),".",RIGHT(A67,1))</f>
        <v>Au.e</v>
      </c>
    </row>
    <row r="68" spans="1:14" x14ac:dyDescent="0.25">
      <c r="A68" s="7" t="s">
        <v>61</v>
      </c>
      <c r="B68" s="8">
        <f>21+20+2+2</f>
        <v>45</v>
      </c>
      <c r="C68" s="8">
        <f>12.2</f>
        <v>12.2</v>
      </c>
      <c r="D68" s="8">
        <f>8.2+4.1</f>
        <v>12.299999999999999</v>
      </c>
      <c r="F68" s="8">
        <v>25</v>
      </c>
      <c r="G68" s="8">
        <v>-2.4</v>
      </c>
      <c r="H68" s="8">
        <v>0.9</v>
      </c>
      <c r="I68" s="8">
        <v>1.2</v>
      </c>
      <c r="J68" s="7">
        <v>9</v>
      </c>
      <c r="K68" s="7">
        <v>1984</v>
      </c>
      <c r="L68" s="7">
        <v>12</v>
      </c>
      <c r="M68" s="7" t="s">
        <v>5</v>
      </c>
      <c r="N68" t="str">
        <f t="shared" si="1"/>
        <v>Bi.r</v>
      </c>
    </row>
    <row r="69" spans="1:14" x14ac:dyDescent="0.25">
      <c r="A69" s="7" t="s">
        <v>60</v>
      </c>
      <c r="B69" s="8">
        <f>24+6+21+2+2+46</f>
        <v>101</v>
      </c>
      <c r="C69" s="8">
        <v>4.2</v>
      </c>
      <c r="D69" s="8">
        <f>10</f>
        <v>10</v>
      </c>
      <c r="E69" s="8">
        <v>50</v>
      </c>
      <c r="F69" s="8">
        <v>7</v>
      </c>
      <c r="G69" s="8">
        <v>3.1</v>
      </c>
      <c r="H69" s="8">
        <v>0.5</v>
      </c>
      <c r="I69" s="8">
        <f>55+9+3</f>
        <v>67</v>
      </c>
      <c r="J69" s="7">
        <v>12</v>
      </c>
      <c r="K69" s="7">
        <v>1984</v>
      </c>
      <c r="L69" s="7">
        <v>12</v>
      </c>
      <c r="M69" s="7" t="s">
        <v>5</v>
      </c>
      <c r="N69" t="str">
        <f t="shared" si="1"/>
        <v>Fi.s</v>
      </c>
    </row>
    <row r="70" spans="1:14" x14ac:dyDescent="0.25">
      <c r="A70" s="7" t="s">
        <v>59</v>
      </c>
      <c r="B70" s="8">
        <f>735+17+267+67+20+16+32+19</f>
        <v>1173</v>
      </c>
      <c r="C70" s="8">
        <f>414</f>
        <v>414</v>
      </c>
      <c r="D70" s="8">
        <f>8+175+209+87</f>
        <v>479</v>
      </c>
      <c r="F70" s="8">
        <v>166</v>
      </c>
      <c r="G70" s="8">
        <v>77</v>
      </c>
      <c r="H70" s="8">
        <v>15.2</v>
      </c>
      <c r="I70" s="8">
        <v>800</v>
      </c>
      <c r="J70" s="7">
        <v>12</v>
      </c>
      <c r="K70" s="7">
        <v>1984</v>
      </c>
      <c r="L70" s="7">
        <v>12</v>
      </c>
      <c r="M70" s="7" t="s">
        <v>5</v>
      </c>
      <c r="N70" t="str">
        <f t="shared" si="1"/>
        <v>It.s</v>
      </c>
    </row>
    <row r="71" spans="1:14" x14ac:dyDescent="0.25">
      <c r="A71" s="7" t="s">
        <v>65</v>
      </c>
      <c r="B71" s="8">
        <f>477+228+22+11+293+56+6+87</f>
        <v>1180</v>
      </c>
      <c r="C71" s="8">
        <f>183</f>
        <v>183</v>
      </c>
      <c r="D71" s="8">
        <f>151+16+487+89</f>
        <v>743</v>
      </c>
      <c r="F71" s="8">
        <v>47</v>
      </c>
      <c r="G71" s="8">
        <v>130</v>
      </c>
      <c r="H71" s="8">
        <v>59</v>
      </c>
      <c r="I71" s="8">
        <v>1870</v>
      </c>
      <c r="J71" s="7">
        <v>12</v>
      </c>
      <c r="K71" s="7">
        <v>1984</v>
      </c>
      <c r="L71" s="7">
        <v>12</v>
      </c>
      <c r="M71" s="7" t="s">
        <v>5</v>
      </c>
      <c r="N71" t="str">
        <f t="shared" si="1"/>
        <v>La.e</v>
      </c>
    </row>
    <row r="72" spans="1:14" x14ac:dyDescent="0.25">
      <c r="A72" s="7" t="s">
        <v>64</v>
      </c>
      <c r="B72" s="8">
        <f>24+10+6+3</f>
        <v>43</v>
      </c>
      <c r="C72" s="8">
        <v>14.8</v>
      </c>
      <c r="D72" s="8">
        <f>2+2+7+7+2</f>
        <v>20</v>
      </c>
      <c r="F72" s="8">
        <v>2</v>
      </c>
      <c r="G72" s="8">
        <v>4.2</v>
      </c>
      <c r="H72" s="8">
        <v>0.1</v>
      </c>
      <c r="I72" s="8">
        <v>51</v>
      </c>
      <c r="J72" s="7">
        <v>12</v>
      </c>
      <c r="K72" s="7">
        <v>1984</v>
      </c>
      <c r="L72" s="9">
        <v>12</v>
      </c>
      <c r="M72" s="7" t="s">
        <v>5</v>
      </c>
      <c r="N72" t="str">
        <f t="shared" si="1"/>
        <v>Ma.i</v>
      </c>
    </row>
    <row r="73" spans="1:14" x14ac:dyDescent="0.25">
      <c r="A73" s="7" t="s">
        <v>63</v>
      </c>
      <c r="B73" s="8">
        <f>858+21+69+6+37</f>
        <v>991</v>
      </c>
      <c r="C73" s="8">
        <v>87</v>
      </c>
      <c r="D73" s="8">
        <f>283+5</f>
        <v>288</v>
      </c>
      <c r="F73" s="8">
        <v>230</v>
      </c>
      <c r="G73" s="8">
        <v>333</v>
      </c>
      <c r="H73" s="8">
        <v>33</v>
      </c>
      <c r="I73" s="8">
        <f>76+1+14+7</f>
        <v>98</v>
      </c>
      <c r="J73" s="7">
        <v>6</v>
      </c>
      <c r="K73" s="7">
        <v>1984</v>
      </c>
      <c r="L73" s="7">
        <v>12</v>
      </c>
      <c r="M73" s="7" t="s">
        <v>5</v>
      </c>
      <c r="N73" t="str">
        <f t="shared" si="1"/>
        <v>Pi..</v>
      </c>
    </row>
    <row r="74" spans="1:14" x14ac:dyDescent="0.25">
      <c r="A74" s="7" t="s">
        <v>66</v>
      </c>
      <c r="B74" s="8">
        <f>11+7+2+1</f>
        <v>21</v>
      </c>
      <c r="C74" s="8">
        <f>1</f>
        <v>1</v>
      </c>
      <c r="D74" s="8">
        <f>3.5</f>
        <v>3.5</v>
      </c>
      <c r="F74" s="8">
        <v>15</v>
      </c>
      <c r="G74" s="8">
        <v>0.4</v>
      </c>
      <c r="H74" s="8">
        <v>2</v>
      </c>
      <c r="I74" s="8">
        <f>3+0.3</f>
        <v>3.3</v>
      </c>
      <c r="J74" s="7">
        <v>5</v>
      </c>
      <c r="K74" s="7">
        <v>1984</v>
      </c>
      <c r="L74" s="7">
        <v>12</v>
      </c>
      <c r="M74" s="7" t="s">
        <v>5</v>
      </c>
      <c r="N74" t="str">
        <f t="shared" si="1"/>
        <v>SO..</v>
      </c>
    </row>
    <row r="75" spans="1:14" x14ac:dyDescent="0.25">
      <c r="A75" s="7" t="s">
        <v>66</v>
      </c>
      <c r="B75" s="8">
        <f>11+2+7+1</f>
        <v>21</v>
      </c>
      <c r="C75" s="8">
        <v>1.1000000000000001</v>
      </c>
      <c r="D75" s="8">
        <v>3.5</v>
      </c>
      <c r="F75" s="8">
        <v>15</v>
      </c>
      <c r="G75" s="8">
        <v>2.4</v>
      </c>
      <c r="H75" s="8">
        <v>0.2</v>
      </c>
      <c r="I75" s="8">
        <f>0.3</f>
        <v>0.3</v>
      </c>
      <c r="J75" s="7">
        <v>6</v>
      </c>
      <c r="K75" s="7">
        <v>1984</v>
      </c>
      <c r="L75" s="7">
        <v>1</v>
      </c>
      <c r="M75" s="7" t="s">
        <v>5</v>
      </c>
      <c r="N75" t="str">
        <f t="shared" si="1"/>
        <v>SO..</v>
      </c>
    </row>
    <row r="76" spans="1:14" x14ac:dyDescent="0.25">
      <c r="A76" s="7" t="s">
        <v>62</v>
      </c>
      <c r="B76" s="8">
        <f>28+17+24+15+3+3</f>
        <v>90</v>
      </c>
      <c r="C76" s="8">
        <v>17.3</v>
      </c>
      <c r="D76" s="8">
        <f>5+7+20+7+1</f>
        <v>40</v>
      </c>
      <c r="F76" s="8">
        <v>5.5</v>
      </c>
      <c r="G76" s="8">
        <v>24</v>
      </c>
      <c r="H76" s="8">
        <v>0.8</v>
      </c>
      <c r="I76" s="8">
        <v>96</v>
      </c>
      <c r="J76" s="7">
        <v>12</v>
      </c>
      <c r="K76" s="7">
        <v>1984</v>
      </c>
      <c r="L76" s="7">
        <v>12</v>
      </c>
      <c r="M76" s="7" t="s">
        <v>5</v>
      </c>
      <c r="N76" t="str">
        <f t="shared" si="1"/>
        <v>Tr.i</v>
      </c>
    </row>
    <row r="77" spans="1:14" x14ac:dyDescent="0.25">
      <c r="A77" s="7" t="s">
        <v>68</v>
      </c>
      <c r="B77" s="8">
        <f>123+90+3+357+13+71</f>
        <v>657</v>
      </c>
      <c r="C77" s="8">
        <f>3.5+4.3</f>
        <v>7.8</v>
      </c>
      <c r="D77" s="8">
        <v>5.3</v>
      </c>
      <c r="E77" s="8">
        <v>576</v>
      </c>
      <c r="F77" s="8">
        <v>10</v>
      </c>
      <c r="G77" s="8">
        <v>22</v>
      </c>
      <c r="H77" s="8">
        <v>5.4</v>
      </c>
      <c r="I77" s="8">
        <f>11+4+70+2</f>
        <v>87</v>
      </c>
      <c r="J77" s="7">
        <v>12</v>
      </c>
      <c r="K77" s="7">
        <v>1985</v>
      </c>
      <c r="L77" s="7">
        <v>12</v>
      </c>
      <c r="M77" s="7" t="s">
        <v>5</v>
      </c>
      <c r="N77" t="str">
        <f t="shared" si="1"/>
        <v>Ba.i</v>
      </c>
    </row>
    <row r="78" spans="1:14" x14ac:dyDescent="0.25">
      <c r="A78" s="7" t="s">
        <v>73</v>
      </c>
      <c r="B78" s="8">
        <f>33+19+7+1</f>
        <v>60</v>
      </c>
      <c r="C78" s="8">
        <v>2</v>
      </c>
      <c r="D78" s="8">
        <v>5.6</v>
      </c>
      <c r="F78" s="8">
        <v>26</v>
      </c>
      <c r="G78" s="8">
        <v>22</v>
      </c>
      <c r="H78" s="8">
        <v>5</v>
      </c>
      <c r="I78" s="8">
        <v>7.5</v>
      </c>
      <c r="J78" s="7">
        <v>12</v>
      </c>
      <c r="K78" s="7">
        <v>1985</v>
      </c>
      <c r="L78" s="7">
        <v>12</v>
      </c>
      <c r="M78" s="7" t="s">
        <v>5</v>
      </c>
      <c r="N78" t="str">
        <f t="shared" si="1"/>
        <v>Bu.n</v>
      </c>
    </row>
    <row r="79" spans="1:14" x14ac:dyDescent="0.25">
      <c r="A79" s="7" t="s">
        <v>74</v>
      </c>
      <c r="B79" s="8">
        <f>163+21+18+21+8+21+10</f>
        <v>262</v>
      </c>
      <c r="C79" s="8">
        <v>81</v>
      </c>
      <c r="D79" s="8">
        <f>17+77+12+9+12</f>
        <v>127</v>
      </c>
      <c r="F79" s="8">
        <v>36</v>
      </c>
      <c r="G79" s="8">
        <v>1.3</v>
      </c>
      <c r="H79" s="8">
        <v>-9.6999999999999993</v>
      </c>
      <c r="I79" s="8">
        <v>76</v>
      </c>
      <c r="J79" s="7">
        <v>12</v>
      </c>
      <c r="K79" s="7">
        <v>1985</v>
      </c>
      <c r="L79" s="7">
        <v>12</v>
      </c>
      <c r="M79" s="7" t="s">
        <v>5</v>
      </c>
      <c r="N79" t="str">
        <f t="shared" si="1"/>
        <v>Ce.i</v>
      </c>
    </row>
    <row r="80" spans="1:14" x14ac:dyDescent="0.25">
      <c r="A80" s="7" t="s">
        <v>67</v>
      </c>
      <c r="B80" s="8">
        <f>21+6+1+2+1</f>
        <v>31</v>
      </c>
      <c r="C80" s="8">
        <v>11.7</v>
      </c>
      <c r="D80" s="8">
        <f>2+2.4+0.8</f>
        <v>5.2</v>
      </c>
      <c r="F80" s="8">
        <v>3.3</v>
      </c>
      <c r="G80" s="8">
        <v>9.1999999999999993</v>
      </c>
      <c r="H80" s="8">
        <v>1.2</v>
      </c>
      <c r="I80" s="8">
        <v>11.3</v>
      </c>
      <c r="J80" s="7">
        <v>12</v>
      </c>
      <c r="K80" s="7">
        <v>1985</v>
      </c>
      <c r="L80" s="7">
        <v>12</v>
      </c>
      <c r="M80" s="7" t="s">
        <v>5</v>
      </c>
      <c r="N80" t="str">
        <f t="shared" si="1"/>
        <v>Co.i</v>
      </c>
    </row>
    <row r="81" spans="1:14" x14ac:dyDescent="0.25">
      <c r="A81" s="7" t="s">
        <v>70</v>
      </c>
      <c r="B81" s="8">
        <f>39+71+60+13+13+4+2+10</f>
        <v>212</v>
      </c>
      <c r="C81" s="8">
        <v>23</v>
      </c>
      <c r="D81" s="8">
        <f>6+39+40+41+28</f>
        <v>154</v>
      </c>
      <c r="F81" s="8">
        <v>14</v>
      </c>
      <c r="G81" s="8">
        <v>11.7</v>
      </c>
      <c r="H81" s="8">
        <v>3.5</v>
      </c>
      <c r="I81" s="8">
        <v>119</v>
      </c>
      <c r="J81" s="7">
        <v>12</v>
      </c>
      <c r="K81" s="7">
        <v>1985</v>
      </c>
      <c r="L81" s="7">
        <v>12</v>
      </c>
      <c r="M81" s="7" t="s">
        <v>5</v>
      </c>
      <c r="N81" t="str">
        <f t="shared" si="1"/>
        <v>Fi.i</v>
      </c>
    </row>
    <row r="82" spans="1:14" x14ac:dyDescent="0.25">
      <c r="A82" s="7" t="s">
        <v>69</v>
      </c>
      <c r="B82" s="8">
        <f>17+6+3</f>
        <v>26</v>
      </c>
      <c r="C82" s="8">
        <v>0.9</v>
      </c>
      <c r="D82" s="8">
        <f>14</f>
        <v>14</v>
      </c>
      <c r="F82" s="8">
        <v>9.6999999999999993</v>
      </c>
      <c r="G82" s="8">
        <v>1.7</v>
      </c>
      <c r="H82" s="8">
        <v>0</v>
      </c>
      <c r="I82" s="8">
        <f>0.3+0.3+2.6</f>
        <v>3.2</v>
      </c>
      <c r="J82" s="7">
        <v>12</v>
      </c>
      <c r="K82" s="7">
        <v>1985</v>
      </c>
      <c r="L82" s="7">
        <v>12</v>
      </c>
      <c r="M82" s="7" t="s">
        <v>5</v>
      </c>
      <c r="N82" t="str">
        <f t="shared" si="1"/>
        <v>Fi.x</v>
      </c>
    </row>
    <row r="83" spans="1:14" x14ac:dyDescent="0.25">
      <c r="A83" s="7" t="s">
        <v>76</v>
      </c>
      <c r="B83" s="8">
        <f>1004+484+1481+916+1241+60+7+160</f>
        <v>5353</v>
      </c>
      <c r="C83" s="8">
        <f>586</f>
        <v>586</v>
      </c>
      <c r="D83" s="8">
        <f>299+713+421+700+163</f>
        <v>2296</v>
      </c>
      <c r="F83" s="8">
        <v>494</v>
      </c>
      <c r="G83" s="8">
        <v>1378</v>
      </c>
      <c r="H83" s="8">
        <v>329</v>
      </c>
      <c r="I83" s="8">
        <v>3487</v>
      </c>
      <c r="J83" s="7">
        <v>12</v>
      </c>
      <c r="K83" s="7">
        <v>1985</v>
      </c>
      <c r="L83" s="7">
        <v>12</v>
      </c>
      <c r="M83" s="7" t="s">
        <v>5</v>
      </c>
      <c r="N83" t="str">
        <f t="shared" si="1"/>
        <v>In..</v>
      </c>
    </row>
    <row r="84" spans="1:14" x14ac:dyDescent="0.25">
      <c r="A84" s="7" t="s">
        <v>71</v>
      </c>
      <c r="B84" s="8">
        <f>195+366+29+3274+73+506+162</f>
        <v>4605</v>
      </c>
      <c r="C84" s="8">
        <f>18+63</f>
        <v>81</v>
      </c>
      <c r="D84" s="8">
        <v>10.199999999999999</v>
      </c>
      <c r="E84" s="8">
        <v>3849</v>
      </c>
      <c r="F84" s="8">
        <v>96</v>
      </c>
      <c r="G84" s="8">
        <v>280</v>
      </c>
      <c r="H84" s="8">
        <v>42</v>
      </c>
      <c r="I84" s="8">
        <f>55+19+473+21</f>
        <v>568</v>
      </c>
      <c r="J84" s="7">
        <v>12</v>
      </c>
      <c r="K84" s="7">
        <v>1985</v>
      </c>
      <c r="L84" s="9">
        <v>12</v>
      </c>
      <c r="M84" s="7" t="s">
        <v>5</v>
      </c>
      <c r="N84" t="str">
        <f t="shared" si="1"/>
        <v>Is.o</v>
      </c>
    </row>
    <row r="85" spans="1:14" x14ac:dyDescent="0.25">
      <c r="A85" s="7" t="s">
        <v>72</v>
      </c>
      <c r="B85" s="8">
        <f>25+9+14+33+20+1+6</f>
        <v>108</v>
      </c>
      <c r="C85" s="8">
        <v>15</v>
      </c>
      <c r="D85" s="8">
        <f>5+11+3+12+1</f>
        <v>32</v>
      </c>
      <c r="F85" s="8">
        <v>40</v>
      </c>
      <c r="G85" s="8">
        <v>4.8</v>
      </c>
      <c r="H85" s="8">
        <v>9</v>
      </c>
      <c r="I85" s="8">
        <v>62</v>
      </c>
      <c r="J85" s="7">
        <v>12</v>
      </c>
      <c r="K85" s="7">
        <v>1985</v>
      </c>
      <c r="L85" s="7">
        <v>12</v>
      </c>
      <c r="M85" s="7" t="s">
        <v>5</v>
      </c>
      <c r="N85" t="str">
        <f t="shared" si="1"/>
        <v>Te.p</v>
      </c>
    </row>
    <row r="86" spans="1:14" x14ac:dyDescent="0.25">
      <c r="A86" s="7" t="s">
        <v>75</v>
      </c>
      <c r="B86" s="8">
        <f>7+5+7</f>
        <v>19</v>
      </c>
      <c r="C86" s="8">
        <v>4</v>
      </c>
      <c r="D86" s="8">
        <f>6.4+2+2+0.7</f>
        <v>11.1</v>
      </c>
      <c r="F86" s="8">
        <v>2.7</v>
      </c>
      <c r="G86" s="8">
        <v>1</v>
      </c>
      <c r="H86" s="8">
        <v>0.1</v>
      </c>
      <c r="I86" s="8">
        <v>11</v>
      </c>
      <c r="J86" s="7">
        <v>9</v>
      </c>
      <c r="K86" s="7">
        <v>1985</v>
      </c>
      <c r="L86" s="7">
        <v>12</v>
      </c>
      <c r="M86" s="7" t="s">
        <v>5</v>
      </c>
      <c r="N86" t="str">
        <f t="shared" si="1"/>
        <v>Vi.I</v>
      </c>
    </row>
    <row r="87" spans="1:14" x14ac:dyDescent="0.25">
      <c r="A87" s="7" t="s">
        <v>77</v>
      </c>
      <c r="B87" s="8">
        <f>8+8+2+2</f>
        <v>20</v>
      </c>
      <c r="C87" s="8">
        <v>0.9</v>
      </c>
      <c r="D87" s="8">
        <v>0</v>
      </c>
      <c r="F87" s="8">
        <v>1.2</v>
      </c>
      <c r="G87" s="8">
        <v>12</v>
      </c>
      <c r="H87" s="8">
        <v>5.7</v>
      </c>
      <c r="I87" s="8">
        <f>4.7+1.1+1</f>
        <v>6.8000000000000007</v>
      </c>
      <c r="J87" s="7">
        <v>12</v>
      </c>
      <c r="K87" s="7">
        <v>1985</v>
      </c>
      <c r="L87" s="9">
        <v>12</v>
      </c>
      <c r="M87" s="7" t="s">
        <v>5</v>
      </c>
      <c r="N87" t="str">
        <f t="shared" si="1"/>
        <v>Wa.e</v>
      </c>
    </row>
    <row r="88" spans="1:14" x14ac:dyDescent="0.25">
      <c r="A88" s="7" t="s">
        <v>28</v>
      </c>
      <c r="B88" s="8">
        <f>980+1624+54+4995+140+1258</f>
        <v>9051</v>
      </c>
      <c r="C88" s="8">
        <v>170</v>
      </c>
      <c r="D88" s="8">
        <v>84</v>
      </c>
      <c r="E88" s="8">
        <v>6400</v>
      </c>
      <c r="F88" s="8">
        <v>75</v>
      </c>
      <c r="G88" s="8">
        <v>359</v>
      </c>
      <c r="H88" s="8">
        <v>80</v>
      </c>
      <c r="I88" s="8">
        <f>794+63</f>
        <v>857</v>
      </c>
      <c r="J88" s="7">
        <v>12</v>
      </c>
      <c r="K88" s="7">
        <v>1986</v>
      </c>
      <c r="L88" s="7">
        <v>12</v>
      </c>
      <c r="M88" s="7" t="s">
        <v>5</v>
      </c>
      <c r="N88" t="str">
        <f t="shared" si="1"/>
        <v>Ba.o</v>
      </c>
    </row>
    <row r="89" spans="1:14" x14ac:dyDescent="0.25">
      <c r="A89" s="7" t="s">
        <v>86</v>
      </c>
      <c r="B89" s="8">
        <f>139+192+8+761+34+134</f>
        <v>1268</v>
      </c>
      <c r="C89" s="8">
        <v>29</v>
      </c>
      <c r="D89" s="8">
        <v>18.100000000000001</v>
      </c>
      <c r="E89" s="8">
        <v>977</v>
      </c>
      <c r="F89" s="8">
        <v>7.5</v>
      </c>
      <c r="G89" s="8">
        <v>116</v>
      </c>
      <c r="H89" s="8">
        <v>14.2</v>
      </c>
      <c r="I89" s="8">
        <f>132+9</f>
        <v>141</v>
      </c>
      <c r="J89" s="7">
        <v>12</v>
      </c>
      <c r="K89" s="7">
        <v>1986</v>
      </c>
      <c r="L89" s="7">
        <v>12</v>
      </c>
      <c r="M89" s="7" t="s">
        <v>5</v>
      </c>
      <c r="N89" t="str">
        <f t="shared" si="1"/>
        <v>Ba.a</v>
      </c>
    </row>
    <row r="90" spans="1:14" x14ac:dyDescent="0.25">
      <c r="A90" s="7" t="s">
        <v>80</v>
      </c>
      <c r="B90" s="8">
        <f>1013+1946+90+2648+86+389</f>
        <v>6172</v>
      </c>
      <c r="C90" s="8">
        <v>42</v>
      </c>
      <c r="D90" s="8">
        <v>56</v>
      </c>
      <c r="E90" s="8">
        <v>5120</v>
      </c>
      <c r="F90" s="8">
        <v>0</v>
      </c>
      <c r="G90" s="8">
        <v>492</v>
      </c>
      <c r="H90" s="8">
        <v>35</v>
      </c>
      <c r="I90" s="8">
        <f>615+20</f>
        <v>635</v>
      </c>
      <c r="J90" s="7">
        <v>12</v>
      </c>
      <c r="K90" s="7">
        <v>1986</v>
      </c>
      <c r="L90" s="7">
        <v>12</v>
      </c>
      <c r="M90" s="7" t="s">
        <v>5</v>
      </c>
      <c r="N90" t="str">
        <f t="shared" si="1"/>
        <v>Ba.a</v>
      </c>
    </row>
    <row r="91" spans="1:14" x14ac:dyDescent="0.25">
      <c r="A91" s="7" t="s">
        <v>78</v>
      </c>
      <c r="B91" s="8">
        <f>140+18+24+90+3</f>
        <v>275</v>
      </c>
      <c r="C91" s="8">
        <v>120</v>
      </c>
      <c r="D91" s="8">
        <f>3+5.3+7+2.1</f>
        <v>17.400000000000002</v>
      </c>
      <c r="F91" s="8">
        <v>30</v>
      </c>
      <c r="G91" s="8">
        <v>65</v>
      </c>
      <c r="H91" s="8">
        <v>30</v>
      </c>
      <c r="I91" s="8">
        <v>83</v>
      </c>
      <c r="J91" s="7">
        <v>12</v>
      </c>
      <c r="K91" s="7">
        <v>1986</v>
      </c>
      <c r="L91" s="7">
        <v>12</v>
      </c>
      <c r="M91" s="7" t="s">
        <v>5</v>
      </c>
      <c r="N91" t="str">
        <f t="shared" si="1"/>
        <v>Ce.a</v>
      </c>
    </row>
    <row r="92" spans="1:14" x14ac:dyDescent="0.25">
      <c r="A92" s="7" t="s">
        <v>88</v>
      </c>
      <c r="B92" s="8">
        <f>178+42+568+152+2+226</f>
        <v>1168</v>
      </c>
      <c r="C92" s="8">
        <v>60</v>
      </c>
      <c r="D92" s="8">
        <f>18.2</f>
        <v>18.2</v>
      </c>
      <c r="E92" s="8">
        <v>765</v>
      </c>
      <c r="F92" s="8">
        <v>73</v>
      </c>
      <c r="G92" s="8">
        <v>122</v>
      </c>
      <c r="H92" s="8">
        <v>31</v>
      </c>
      <c r="I92" s="8">
        <f>655+81+92</f>
        <v>828</v>
      </c>
      <c r="J92" s="7">
        <v>12</v>
      </c>
      <c r="K92" s="7">
        <v>1986</v>
      </c>
      <c r="L92" s="7">
        <v>12</v>
      </c>
      <c r="M92" s="7" t="s">
        <v>5</v>
      </c>
      <c r="N92" t="str">
        <f t="shared" si="1"/>
        <v>Co.l</v>
      </c>
    </row>
    <row r="93" spans="1:14" x14ac:dyDescent="0.25">
      <c r="A93" s="7" t="s">
        <v>87</v>
      </c>
      <c r="B93" s="8">
        <f>4881+8738+234+42579+418+4139</f>
        <v>60989</v>
      </c>
      <c r="C93" s="8">
        <v>477</v>
      </c>
      <c r="D93" s="8">
        <v>430</v>
      </c>
      <c r="E93" s="8">
        <v>53686</v>
      </c>
      <c r="F93" s="8">
        <v>500</v>
      </c>
      <c r="G93" s="8">
        <v>1365</v>
      </c>
      <c r="H93" s="8">
        <v>208</v>
      </c>
      <c r="I93" s="8">
        <f>3993+354</f>
        <v>4347</v>
      </c>
      <c r="J93" s="7">
        <v>12</v>
      </c>
      <c r="K93" s="7">
        <v>1986</v>
      </c>
      <c r="L93" s="9">
        <v>12</v>
      </c>
      <c r="M93" s="7" t="s">
        <v>5</v>
      </c>
      <c r="N93" t="str">
        <f t="shared" si="1"/>
        <v>Cr.o</v>
      </c>
    </row>
    <row r="94" spans="1:14" x14ac:dyDescent="0.25">
      <c r="A94" s="7" t="s">
        <v>79</v>
      </c>
      <c r="B94" s="8">
        <f>55+191+353+23+36+197+41</f>
        <v>896</v>
      </c>
      <c r="C94" s="8">
        <v>37</v>
      </c>
      <c r="D94" s="8">
        <f>12+208+151+315</f>
        <v>686</v>
      </c>
      <c r="F94" s="8">
        <v>18</v>
      </c>
      <c r="G94" s="8">
        <v>43</v>
      </c>
      <c r="H94" s="8">
        <v>31</v>
      </c>
      <c r="I94" s="8">
        <v>302</v>
      </c>
      <c r="J94" s="7">
        <v>6</v>
      </c>
      <c r="K94" s="7">
        <v>1986</v>
      </c>
      <c r="L94" s="7">
        <v>12</v>
      </c>
      <c r="M94" s="7" t="s">
        <v>5</v>
      </c>
      <c r="N94" t="str">
        <f t="shared" si="1"/>
        <v>Da..</v>
      </c>
    </row>
    <row r="95" spans="1:14" x14ac:dyDescent="0.25">
      <c r="A95" s="7" t="s">
        <v>85</v>
      </c>
      <c r="B95" s="8">
        <f>7+13+32+10+2</f>
        <v>64</v>
      </c>
      <c r="C95" s="8">
        <v>5</v>
      </c>
      <c r="D95" s="8">
        <f>1+5+12+6+2</f>
        <v>26</v>
      </c>
      <c r="F95" s="8">
        <v>8.3000000000000007</v>
      </c>
      <c r="G95" s="8">
        <v>8.6999999999999993</v>
      </c>
      <c r="H95" s="8">
        <v>6.5</v>
      </c>
      <c r="I95" s="8">
        <v>54</v>
      </c>
      <c r="J95" s="7">
        <v>12</v>
      </c>
      <c r="K95" s="7">
        <v>1986</v>
      </c>
      <c r="L95" s="9">
        <v>12</v>
      </c>
      <c r="M95" s="7" t="s">
        <v>5</v>
      </c>
      <c r="N95" t="str">
        <f t="shared" si="1"/>
        <v>Da.t</v>
      </c>
    </row>
    <row r="96" spans="1:14" x14ac:dyDescent="0.25">
      <c r="A96" s="7" t="s">
        <v>81</v>
      </c>
      <c r="B96" s="8">
        <f>13+9+15+1+10+1+1</f>
        <v>50</v>
      </c>
      <c r="C96" s="8">
        <v>6.6</v>
      </c>
      <c r="D96" s="8">
        <f>1+10+3+7+1</f>
        <v>22</v>
      </c>
      <c r="F96" s="8">
        <v>10</v>
      </c>
      <c r="G96" s="8">
        <v>7.6</v>
      </c>
      <c r="H96" s="8">
        <v>1.5</v>
      </c>
      <c r="I96" s="8">
        <v>31</v>
      </c>
      <c r="J96" s="7">
        <v>12</v>
      </c>
      <c r="K96" s="7">
        <v>1986</v>
      </c>
      <c r="L96" s="7">
        <v>12</v>
      </c>
      <c r="M96" s="7" t="s">
        <v>5</v>
      </c>
      <c r="N96" t="str">
        <f t="shared" si="1"/>
        <v>Fa.a</v>
      </c>
    </row>
    <row r="97" spans="1:14" x14ac:dyDescent="0.25">
      <c r="A97" s="7" t="s">
        <v>82</v>
      </c>
      <c r="B97" s="8">
        <f>32+47+52+3+5+22+22</f>
        <v>183</v>
      </c>
      <c r="C97" s="8">
        <v>22</v>
      </c>
      <c r="D97" s="8">
        <f>15+9+18+77</f>
        <v>119</v>
      </c>
      <c r="F97" s="8">
        <v>6.5</v>
      </c>
      <c r="G97" s="8">
        <v>20</v>
      </c>
      <c r="H97" s="8">
        <v>7.3</v>
      </c>
      <c r="I97" s="8">
        <v>125</v>
      </c>
      <c r="J97" s="7">
        <v>12</v>
      </c>
      <c r="K97" s="7">
        <v>1986</v>
      </c>
      <c r="L97" s="7">
        <v>12</v>
      </c>
      <c r="M97" s="7" t="s">
        <v>5</v>
      </c>
      <c r="N97" t="str">
        <f t="shared" si="1"/>
        <v>Fi.r</v>
      </c>
    </row>
    <row r="98" spans="1:14" x14ac:dyDescent="0.25">
      <c r="A98" s="7" t="s">
        <v>83</v>
      </c>
      <c r="B98" s="8">
        <f>8+7+3</f>
        <v>18</v>
      </c>
      <c r="C98" s="8">
        <v>0</v>
      </c>
      <c r="D98" s="8">
        <v>0</v>
      </c>
      <c r="F98" s="8">
        <v>10</v>
      </c>
      <c r="G98" s="8">
        <v>6.7</v>
      </c>
      <c r="H98" s="8">
        <v>0.5</v>
      </c>
      <c r="I98" s="8">
        <f>0.3+0.4</f>
        <v>0.7</v>
      </c>
      <c r="J98" s="7">
        <v>12</v>
      </c>
      <c r="K98" s="7">
        <v>1986</v>
      </c>
      <c r="L98" s="7">
        <v>12</v>
      </c>
      <c r="M98" s="7" t="s">
        <v>5</v>
      </c>
      <c r="N98" t="str">
        <f t="shared" si="1"/>
        <v>Sc.4</v>
      </c>
    </row>
    <row r="99" spans="1:14" x14ac:dyDescent="0.25">
      <c r="A99" s="7" t="s">
        <v>84</v>
      </c>
      <c r="B99" s="8">
        <f>5+1+55+24+17+2+1</f>
        <v>105</v>
      </c>
      <c r="C99" s="8">
        <v>3.1</v>
      </c>
      <c r="D99" s="8">
        <f>22+23+3+5</f>
        <v>53</v>
      </c>
      <c r="F99" s="8">
        <v>9.6999999999999993</v>
      </c>
      <c r="G99" s="8">
        <v>27</v>
      </c>
      <c r="H99" s="8">
        <v>0.9</v>
      </c>
      <c r="I99" s="8">
        <v>10.3</v>
      </c>
      <c r="J99" s="7">
        <v>12</v>
      </c>
      <c r="K99" s="7">
        <v>1986</v>
      </c>
      <c r="L99" s="7">
        <v>12</v>
      </c>
      <c r="M99" s="7" t="s">
        <v>5</v>
      </c>
      <c r="N99" t="str">
        <f t="shared" si="1"/>
        <v>Wo.n</v>
      </c>
    </row>
    <row r="100" spans="1:14" x14ac:dyDescent="0.25">
      <c r="A100" s="7" t="s">
        <v>90</v>
      </c>
      <c r="B100" s="8">
        <f>141+196+375+16+143</f>
        <v>871</v>
      </c>
      <c r="C100" s="8">
        <v>24</v>
      </c>
      <c r="D100" s="8">
        <v>13</v>
      </c>
      <c r="E100" s="8">
        <v>760</v>
      </c>
      <c r="F100" s="8">
        <v>2.6</v>
      </c>
      <c r="G100" s="8">
        <v>15.2</v>
      </c>
      <c r="H100" s="8">
        <v>3</v>
      </c>
      <c r="I100" s="8">
        <f>91+7</f>
        <v>98</v>
      </c>
      <c r="J100" s="7">
        <v>12</v>
      </c>
      <c r="K100" s="7">
        <v>1987</v>
      </c>
      <c r="L100" s="7">
        <v>12</v>
      </c>
      <c r="M100" s="7" t="s">
        <v>5</v>
      </c>
      <c r="N100" t="str">
        <f t="shared" si="1"/>
        <v>Ba.e</v>
      </c>
    </row>
    <row r="101" spans="1:14" x14ac:dyDescent="0.25">
      <c r="A101" s="7" t="s">
        <v>89</v>
      </c>
      <c r="B101" s="8">
        <f>585+805+40+2772+103+934</f>
        <v>5239</v>
      </c>
      <c r="C101" s="8">
        <v>62</v>
      </c>
      <c r="D101" s="8">
        <v>79</v>
      </c>
      <c r="E101" s="8">
        <v>3698</v>
      </c>
      <c r="F101" s="8">
        <v>2.6</v>
      </c>
      <c r="G101" s="8">
        <v>423</v>
      </c>
      <c r="H101" s="8">
        <v>27</v>
      </c>
      <c r="I101" s="8">
        <f>430+55</f>
        <v>485</v>
      </c>
      <c r="J101" s="7">
        <v>12</v>
      </c>
      <c r="K101" s="7">
        <v>1987</v>
      </c>
      <c r="L101" s="7">
        <v>12</v>
      </c>
      <c r="M101" s="7" t="s">
        <v>5</v>
      </c>
      <c r="N101" t="str">
        <f t="shared" si="1"/>
        <v>Ba.a</v>
      </c>
    </row>
    <row r="102" spans="1:14" x14ac:dyDescent="0.25">
      <c r="A102" s="7" t="s">
        <v>94</v>
      </c>
      <c r="B102" s="8">
        <f>2100+4662+410+12040+315+2622</f>
        <v>22149</v>
      </c>
      <c r="C102" s="8">
        <v>200</v>
      </c>
      <c r="D102" s="8">
        <v>227</v>
      </c>
      <c r="E102" s="8">
        <v>17900</v>
      </c>
      <c r="F102" s="8">
        <v>47</v>
      </c>
      <c r="G102" s="8">
        <v>1399</v>
      </c>
      <c r="H102" s="8">
        <v>145</v>
      </c>
      <c r="I102" s="8">
        <f>1717+111</f>
        <v>1828</v>
      </c>
      <c r="J102" s="7">
        <v>12</v>
      </c>
      <c r="K102" s="7">
        <v>1987</v>
      </c>
      <c r="L102" s="7">
        <v>12</v>
      </c>
      <c r="M102" s="7" t="s">
        <v>5</v>
      </c>
      <c r="N102" t="str">
        <f t="shared" si="1"/>
        <v>Ba.a</v>
      </c>
    </row>
    <row r="103" spans="1:14" x14ac:dyDescent="0.25">
      <c r="A103" s="7" t="s">
        <v>88</v>
      </c>
      <c r="B103" s="8">
        <f>187+71+707+208+3+267</f>
        <v>1443</v>
      </c>
      <c r="C103" s="8">
        <v>70</v>
      </c>
      <c r="D103" s="8">
        <v>20</v>
      </c>
      <c r="E103" s="8">
        <v>987</v>
      </c>
      <c r="F103" s="8">
        <v>81</v>
      </c>
      <c r="G103" s="8">
        <v>139</v>
      </c>
      <c r="H103" s="8">
        <v>38</v>
      </c>
      <c r="I103" s="8">
        <f>805+106+103</f>
        <v>1014</v>
      </c>
      <c r="J103" s="7">
        <v>12</v>
      </c>
      <c r="K103" s="7">
        <v>1987</v>
      </c>
      <c r="L103" s="7">
        <v>12</v>
      </c>
      <c r="M103" s="7" t="s">
        <v>5</v>
      </c>
      <c r="N103" t="str">
        <f t="shared" si="1"/>
        <v>Co.l</v>
      </c>
    </row>
    <row r="104" spans="1:14" x14ac:dyDescent="0.25">
      <c r="A104" s="7" t="s">
        <v>92</v>
      </c>
      <c r="B104" s="8">
        <f>0.3+0.1+0.2</f>
        <v>0.60000000000000009</v>
      </c>
      <c r="C104" s="8">
        <v>0.2</v>
      </c>
      <c r="D104" s="8">
        <f>0.2</f>
        <v>0.2</v>
      </c>
      <c r="F104" s="8">
        <v>0.1</v>
      </c>
      <c r="G104" s="8">
        <v>0</v>
      </c>
      <c r="H104" s="8">
        <v>0</v>
      </c>
      <c r="I104" s="8">
        <v>0.6</v>
      </c>
      <c r="J104" s="7">
        <v>12</v>
      </c>
      <c r="K104" s="7">
        <v>1987</v>
      </c>
      <c r="L104" s="7">
        <v>12</v>
      </c>
      <c r="M104" s="7" t="s">
        <v>5</v>
      </c>
      <c r="N104" t="str">
        <f t="shared" si="1"/>
        <v>Fo.a</v>
      </c>
    </row>
    <row r="105" spans="1:14" x14ac:dyDescent="0.25">
      <c r="A105" s="7" t="s">
        <v>93</v>
      </c>
      <c r="B105" s="8">
        <f>0.1</f>
        <v>0.1</v>
      </c>
      <c r="C105" s="8">
        <v>0</v>
      </c>
      <c r="D105" s="8">
        <v>0.1</v>
      </c>
      <c r="F105" s="8">
        <v>0</v>
      </c>
      <c r="G105" s="8">
        <v>0.1</v>
      </c>
      <c r="H105" s="8">
        <v>0</v>
      </c>
      <c r="I105" s="8">
        <v>0.3</v>
      </c>
      <c r="J105" s="7">
        <v>12</v>
      </c>
      <c r="K105" s="7">
        <v>1987</v>
      </c>
      <c r="L105" s="7">
        <v>12</v>
      </c>
      <c r="M105" s="7" t="s">
        <v>5</v>
      </c>
      <c r="N105" t="str">
        <f t="shared" si="1"/>
        <v>Pi.a</v>
      </c>
    </row>
    <row r="106" spans="1:14" x14ac:dyDescent="0.25">
      <c r="A106" s="7" t="s">
        <v>91</v>
      </c>
      <c r="B106" s="8">
        <f>919+282+47+43+540+139</f>
        <v>1970</v>
      </c>
      <c r="C106" s="8">
        <v>294</v>
      </c>
      <c r="D106" s="8">
        <f>312+191+53+589</f>
        <v>1145</v>
      </c>
      <c r="F106" s="8">
        <v>214</v>
      </c>
      <c r="G106" s="8">
        <v>134</v>
      </c>
      <c r="H106" s="8">
        <v>75</v>
      </c>
      <c r="I106" s="8">
        <v>2511</v>
      </c>
      <c r="J106" s="7">
        <v>12</v>
      </c>
      <c r="K106" s="7">
        <v>1987</v>
      </c>
      <c r="L106" s="7">
        <v>12</v>
      </c>
      <c r="M106" s="7" t="s">
        <v>5</v>
      </c>
      <c r="N106" t="str">
        <f t="shared" si="1"/>
        <v>SA.S</v>
      </c>
    </row>
    <row r="107" spans="1:14" x14ac:dyDescent="0.25">
      <c r="A107" s="7" t="s">
        <v>98</v>
      </c>
      <c r="B107" s="8">
        <f>0.4+0.4+0.6+0.5</f>
        <v>1.9</v>
      </c>
      <c r="C107" s="8">
        <v>0.2</v>
      </c>
      <c r="D107" s="8">
        <f>0.4</f>
        <v>0.4</v>
      </c>
      <c r="F107" s="8">
        <v>0</v>
      </c>
      <c r="G107" s="8">
        <v>0.2</v>
      </c>
      <c r="H107" s="8">
        <v>0</v>
      </c>
      <c r="I107" s="8">
        <v>1</v>
      </c>
      <c r="J107" s="7">
        <v>12</v>
      </c>
      <c r="K107" s="7">
        <v>1988</v>
      </c>
      <c r="L107" s="7">
        <v>12</v>
      </c>
      <c r="M107" s="7" t="s">
        <v>5</v>
      </c>
      <c r="N107" t="str">
        <f t="shared" si="1"/>
        <v>Ab.o</v>
      </c>
    </row>
    <row r="108" spans="1:14" x14ac:dyDescent="0.25">
      <c r="A108" s="7" t="s">
        <v>51</v>
      </c>
      <c r="B108" s="8">
        <f>31+2+41+4</f>
        <v>78</v>
      </c>
      <c r="C108" s="8">
        <v>0.2</v>
      </c>
      <c r="D108" s="8">
        <f>0.5+0.8+1.7+3.4</f>
        <v>6.4</v>
      </c>
      <c r="F108" s="8">
        <v>12.6</v>
      </c>
      <c r="G108" s="8">
        <v>47</v>
      </c>
      <c r="H108" s="8">
        <v>9.4</v>
      </c>
      <c r="I108" s="8">
        <v>7.8</v>
      </c>
      <c r="J108" s="7">
        <v>12</v>
      </c>
      <c r="K108" s="7">
        <v>1988</v>
      </c>
      <c r="L108" s="7">
        <v>12</v>
      </c>
      <c r="M108" s="7" t="s">
        <v>5</v>
      </c>
      <c r="N108" t="str">
        <f t="shared" si="1"/>
        <v>Ae.s</v>
      </c>
    </row>
    <row r="109" spans="1:14" x14ac:dyDescent="0.25">
      <c r="A109" s="7" t="s">
        <v>96</v>
      </c>
      <c r="B109" s="8">
        <f>107+149+3+778+23+107</f>
        <v>1167</v>
      </c>
      <c r="C109" s="8">
        <v>14.5</v>
      </c>
      <c r="D109" s="8">
        <v>9.8000000000000007</v>
      </c>
      <c r="E109" s="8">
        <v>940</v>
      </c>
      <c r="F109" s="8">
        <v>47</v>
      </c>
      <c r="G109" s="8">
        <v>80</v>
      </c>
      <c r="H109" s="8">
        <v>11</v>
      </c>
      <c r="I109" s="8">
        <f>89+9</f>
        <v>98</v>
      </c>
      <c r="J109" s="7">
        <v>12</v>
      </c>
      <c r="K109" s="7">
        <v>1988</v>
      </c>
      <c r="L109" s="7">
        <v>12</v>
      </c>
      <c r="M109" s="7" t="s">
        <v>5</v>
      </c>
      <c r="N109" t="str">
        <f t="shared" si="1"/>
        <v>Ba.i</v>
      </c>
    </row>
    <row r="110" spans="1:14" x14ac:dyDescent="0.25">
      <c r="A110" s="7" t="s">
        <v>103</v>
      </c>
      <c r="B110" s="8">
        <f>112+7+7+18+22+5</f>
        <v>171</v>
      </c>
      <c r="C110" s="8">
        <v>66</v>
      </c>
      <c r="D110" s="8">
        <f>4+10+19+3</f>
        <v>36</v>
      </c>
      <c r="F110" s="8">
        <v>16</v>
      </c>
      <c r="G110" s="8">
        <v>41</v>
      </c>
      <c r="H110" s="8">
        <v>8</v>
      </c>
      <c r="I110" s="8">
        <v>78</v>
      </c>
      <c r="J110" s="7">
        <v>12</v>
      </c>
      <c r="K110" s="7">
        <v>1988</v>
      </c>
      <c r="L110" s="7">
        <v>12</v>
      </c>
      <c r="M110" s="7" t="s">
        <v>5</v>
      </c>
      <c r="N110" t="str">
        <f t="shared" si="1"/>
        <v>Ce.a</v>
      </c>
    </row>
    <row r="111" spans="1:14" x14ac:dyDescent="0.25">
      <c r="A111" s="7" t="s">
        <v>95</v>
      </c>
      <c r="B111" s="8">
        <f>14+10+18+4+4+4</f>
        <v>54</v>
      </c>
      <c r="C111" s="8">
        <v>4.5999999999999996</v>
      </c>
      <c r="D111" s="8">
        <f>11+13+5</f>
        <v>29</v>
      </c>
      <c r="F111" s="8">
        <v>12.5</v>
      </c>
      <c r="G111" s="8">
        <v>1.8</v>
      </c>
      <c r="H111" s="8">
        <v>1.7</v>
      </c>
      <c r="I111" s="8">
        <v>33</v>
      </c>
      <c r="J111" s="7">
        <v>12</v>
      </c>
      <c r="K111" s="7">
        <v>1988</v>
      </c>
      <c r="L111" s="7">
        <v>12</v>
      </c>
      <c r="M111" s="7" t="s">
        <v>5</v>
      </c>
      <c r="N111" t="str">
        <f t="shared" si="1"/>
        <v>Ci.t</v>
      </c>
    </row>
    <row r="112" spans="1:14" x14ac:dyDescent="0.25">
      <c r="A112" s="7" t="s">
        <v>35</v>
      </c>
      <c r="B112" s="8">
        <f>0.4+0.2+0.3+0.2+0.2</f>
        <v>1.3</v>
      </c>
      <c r="C112" s="8">
        <v>0.2</v>
      </c>
      <c r="D112" s="8">
        <v>0.3</v>
      </c>
      <c r="F112" s="8">
        <v>0</v>
      </c>
      <c r="G112" s="8">
        <v>0.2</v>
      </c>
      <c r="H112" s="8">
        <v>0</v>
      </c>
      <c r="I112" s="8">
        <v>0.7</v>
      </c>
      <c r="J112" s="7">
        <v>12</v>
      </c>
      <c r="K112" s="7">
        <v>1988</v>
      </c>
      <c r="L112" s="7">
        <v>12</v>
      </c>
      <c r="M112" s="7" t="s">
        <v>5</v>
      </c>
      <c r="N112" t="str">
        <f t="shared" si="1"/>
        <v>Co.r</v>
      </c>
    </row>
    <row r="113" spans="1:14" x14ac:dyDescent="0.25">
      <c r="A113" s="7" t="s">
        <v>99</v>
      </c>
      <c r="B113" s="8">
        <f>2+1.1+0.6</f>
        <v>3.7</v>
      </c>
      <c r="C113" s="8">
        <v>0.3</v>
      </c>
      <c r="D113" s="8">
        <f>0.8+0.3+0.7</f>
        <v>1.8</v>
      </c>
      <c r="F113" s="8">
        <v>0.1</v>
      </c>
      <c r="G113" s="8">
        <v>0</v>
      </c>
      <c r="H113" s="8">
        <v>0</v>
      </c>
      <c r="I113" s="8">
        <v>0.9</v>
      </c>
      <c r="J113" s="7">
        <v>12</v>
      </c>
      <c r="K113" s="7">
        <v>1988</v>
      </c>
      <c r="L113" s="7">
        <v>12</v>
      </c>
      <c r="M113" s="7" t="s">
        <v>5</v>
      </c>
      <c r="N113" t="str">
        <f t="shared" si="1"/>
        <v>Fi.a</v>
      </c>
    </row>
    <row r="114" spans="1:14" x14ac:dyDescent="0.25">
      <c r="A114" s="7" t="s">
        <v>97</v>
      </c>
      <c r="B114" s="8">
        <f>56+15+28+2+2</f>
        <v>103</v>
      </c>
      <c r="C114" s="8">
        <v>22</v>
      </c>
      <c r="D114" s="8">
        <f>2+1+5+22</f>
        <v>30</v>
      </c>
      <c r="F114" s="8">
        <v>8</v>
      </c>
      <c r="G114" s="8">
        <v>17</v>
      </c>
      <c r="H114" s="8">
        <v>11.1</v>
      </c>
      <c r="I114" s="8">
        <v>87</v>
      </c>
      <c r="J114" s="7">
        <v>12</v>
      </c>
      <c r="K114" s="7">
        <v>1988</v>
      </c>
      <c r="L114" s="7">
        <v>12</v>
      </c>
      <c r="M114" s="7" t="s">
        <v>5</v>
      </c>
      <c r="N114" t="str">
        <f t="shared" si="1"/>
        <v>Ge.s</v>
      </c>
    </row>
    <row r="115" spans="1:14" x14ac:dyDescent="0.25">
      <c r="A115" s="7" t="s">
        <v>64</v>
      </c>
      <c r="B115" s="8">
        <f>34+13+7+4</f>
        <v>58</v>
      </c>
      <c r="C115" s="8">
        <v>16.8</v>
      </c>
      <c r="D115" s="8">
        <f>3+6+13+12+3</f>
        <v>37</v>
      </c>
      <c r="F115" s="8">
        <v>2</v>
      </c>
      <c r="G115" s="8">
        <v>5</v>
      </c>
      <c r="H115" s="8">
        <v>-3.5</v>
      </c>
      <c r="I115" s="8">
        <v>49</v>
      </c>
      <c r="J115" s="7">
        <v>12</v>
      </c>
      <c r="K115" s="7">
        <v>1988</v>
      </c>
      <c r="L115" s="7">
        <v>12</v>
      </c>
      <c r="M115" s="7" t="s">
        <v>5</v>
      </c>
      <c r="N115" t="str">
        <f t="shared" si="1"/>
        <v>Ma.i</v>
      </c>
    </row>
    <row r="116" spans="1:14" x14ac:dyDescent="0.25">
      <c r="A116" s="7" t="s">
        <v>101</v>
      </c>
      <c r="B116" s="8">
        <f>35+1+1+4+37</f>
        <v>78</v>
      </c>
      <c r="C116" s="8">
        <v>1.4</v>
      </c>
      <c r="D116" s="8">
        <v>0</v>
      </c>
      <c r="F116" s="8">
        <v>21</v>
      </c>
      <c r="G116" s="8">
        <v>28</v>
      </c>
      <c r="H116" s="8">
        <v>14</v>
      </c>
      <c r="I116" s="8">
        <f>3+21</f>
        <v>24</v>
      </c>
      <c r="J116" s="7">
        <v>9</v>
      </c>
      <c r="K116" s="7">
        <v>1988</v>
      </c>
      <c r="L116" s="7">
        <v>12</v>
      </c>
      <c r="M116" s="7" t="s">
        <v>5</v>
      </c>
      <c r="N116" t="str">
        <f t="shared" si="1"/>
        <v>Mi.l</v>
      </c>
    </row>
    <row r="117" spans="1:14" x14ac:dyDescent="0.25">
      <c r="A117" s="7" t="s">
        <v>100</v>
      </c>
      <c r="B117" s="8">
        <f>1090+101+234+6+37+161</f>
        <v>1629</v>
      </c>
      <c r="C117" s="8">
        <v>431</v>
      </c>
      <c r="D117" s="8">
        <f>9+63+270+137+200</f>
        <v>679</v>
      </c>
      <c r="F117" s="8">
        <v>300</v>
      </c>
      <c r="G117" s="8">
        <v>91</v>
      </c>
      <c r="H117" s="8">
        <v>27</v>
      </c>
      <c r="I117" s="8">
        <v>986</v>
      </c>
      <c r="J117" s="7">
        <v>12</v>
      </c>
      <c r="K117" s="7">
        <v>1988</v>
      </c>
      <c r="L117" s="7">
        <v>12</v>
      </c>
      <c r="M117" s="7" t="s">
        <v>5</v>
      </c>
      <c r="N117" t="str">
        <f t="shared" si="1"/>
        <v>Mo.e</v>
      </c>
    </row>
    <row r="118" spans="1:14" x14ac:dyDescent="0.25">
      <c r="A118" s="7" t="s">
        <v>83</v>
      </c>
      <c r="B118" s="8">
        <f>20+8+25+8611+18</f>
        <v>8682</v>
      </c>
      <c r="C118" s="8">
        <v>9.6</v>
      </c>
      <c r="D118" s="8">
        <f>1+2+12+23+13</f>
        <v>51</v>
      </c>
      <c r="F118" s="8">
        <v>10</v>
      </c>
      <c r="G118" s="8">
        <v>43</v>
      </c>
      <c r="H118" s="8">
        <v>16</v>
      </c>
      <c r="I118" s="8">
        <v>84</v>
      </c>
      <c r="J118" s="7">
        <v>12</v>
      </c>
      <c r="K118" s="7">
        <v>1988</v>
      </c>
      <c r="L118" s="7">
        <v>12</v>
      </c>
      <c r="M118" s="7" t="s">
        <v>5</v>
      </c>
      <c r="N118" t="str">
        <f t="shared" si="1"/>
        <v>Sc.4</v>
      </c>
    </row>
    <row r="119" spans="1:14" x14ac:dyDescent="0.25">
      <c r="A119" s="7" t="s">
        <v>102</v>
      </c>
      <c r="B119" s="8">
        <f>53511+437+3943+11+6+138+3023</f>
        <v>61069</v>
      </c>
      <c r="C119" s="8">
        <v>22860</v>
      </c>
      <c r="D119" s="8">
        <f>1750+14478+81+5101+730</f>
        <v>22140</v>
      </c>
      <c r="F119" s="8">
        <v>3400</v>
      </c>
      <c r="G119" s="8">
        <v>6601</v>
      </c>
      <c r="H119" s="8">
        <v>496</v>
      </c>
      <c r="I119" s="8">
        <v>13374</v>
      </c>
      <c r="J119" s="7">
        <v>12</v>
      </c>
      <c r="K119" s="7">
        <v>1988</v>
      </c>
      <c r="L119" s="7">
        <v>12</v>
      </c>
      <c r="M119" s="7" t="s">
        <v>5</v>
      </c>
      <c r="N119" t="str">
        <f t="shared" si="1"/>
        <v>SI.i</v>
      </c>
    </row>
    <row r="120" spans="1:14" x14ac:dyDescent="0.25">
      <c r="A120" s="7" t="s">
        <v>111</v>
      </c>
      <c r="B120" s="8">
        <f>65+34+10+2</f>
        <v>111</v>
      </c>
      <c r="C120" s="8">
        <v>7.6</v>
      </c>
      <c r="D120" s="8">
        <f>20+6</f>
        <v>26</v>
      </c>
      <c r="F120" s="8">
        <v>53</v>
      </c>
      <c r="G120" s="8">
        <v>14</v>
      </c>
      <c r="H120" s="8">
        <v>2.2999999999999998</v>
      </c>
      <c r="I120" s="8">
        <f>3.8+1.7</f>
        <v>5.5</v>
      </c>
      <c r="J120" s="7">
        <v>12</v>
      </c>
      <c r="K120" s="7">
        <v>1989</v>
      </c>
      <c r="L120" s="7">
        <v>12</v>
      </c>
      <c r="M120" s="7" t="s">
        <v>5</v>
      </c>
      <c r="N120" t="str">
        <f t="shared" si="1"/>
        <v>Ac.o</v>
      </c>
    </row>
    <row r="121" spans="1:14" x14ac:dyDescent="0.25">
      <c r="A121" s="7" t="s">
        <v>106</v>
      </c>
      <c r="B121" s="8">
        <f>11+37+290+7+104</f>
        <v>449</v>
      </c>
      <c r="C121" s="8">
        <v>13.8</v>
      </c>
      <c r="D121" s="8">
        <v>0</v>
      </c>
      <c r="E121" s="8">
        <v>205</v>
      </c>
      <c r="F121" s="8">
        <v>192</v>
      </c>
      <c r="G121" s="8">
        <v>11.4</v>
      </c>
      <c r="H121" s="8">
        <v>1.4</v>
      </c>
      <c r="I121" s="8">
        <f>182+30+37</f>
        <v>249</v>
      </c>
      <c r="J121" s="7">
        <v>12</v>
      </c>
      <c r="K121" s="7">
        <v>1989</v>
      </c>
      <c r="L121" s="7">
        <v>12</v>
      </c>
      <c r="M121" s="7" t="s">
        <v>5</v>
      </c>
      <c r="N121" t="str">
        <f t="shared" si="1"/>
        <v>Au.i</v>
      </c>
    </row>
    <row r="122" spans="1:14" x14ac:dyDescent="0.25">
      <c r="A122" s="10" t="s">
        <v>90</v>
      </c>
      <c r="B122" s="11">
        <f>177+204+525+17+128</f>
        <v>1051</v>
      </c>
      <c r="C122" s="11">
        <v>20</v>
      </c>
      <c r="D122" s="12">
        <v>15.6</v>
      </c>
      <c r="E122" s="12">
        <v>836</v>
      </c>
      <c r="F122" s="11">
        <v>2.6</v>
      </c>
      <c r="G122" s="11">
        <v>19.3</v>
      </c>
      <c r="H122" s="11">
        <v>4.5</v>
      </c>
      <c r="I122" s="12">
        <f>100+7</f>
        <v>107</v>
      </c>
      <c r="J122" s="9">
        <v>12</v>
      </c>
      <c r="K122" s="9">
        <v>1989</v>
      </c>
      <c r="L122" s="9">
        <v>12</v>
      </c>
      <c r="M122" s="7" t="s">
        <v>5</v>
      </c>
      <c r="N122" t="str">
        <f t="shared" si="1"/>
        <v>Ba.e</v>
      </c>
    </row>
    <row r="123" spans="1:14" x14ac:dyDescent="0.25">
      <c r="A123" s="7" t="s">
        <v>107</v>
      </c>
      <c r="B123" s="8">
        <f>282+6+7+3+21</f>
        <v>319</v>
      </c>
      <c r="C123" s="8">
        <v>1.3</v>
      </c>
      <c r="D123" s="8">
        <v>0</v>
      </c>
      <c r="F123" s="8">
        <v>9.8000000000000007</v>
      </c>
      <c r="G123" s="8">
        <v>276</v>
      </c>
      <c r="H123" s="8">
        <v>20</v>
      </c>
      <c r="I123" s="8">
        <f>3+3</f>
        <v>6</v>
      </c>
      <c r="J123" s="7">
        <v>12</v>
      </c>
      <c r="K123" s="7">
        <v>1989</v>
      </c>
      <c r="L123" s="7">
        <v>12</v>
      </c>
      <c r="M123" s="7" t="s">
        <v>5</v>
      </c>
      <c r="N123" t="str">
        <f t="shared" si="1"/>
        <v>Bo.a</v>
      </c>
    </row>
    <row r="124" spans="1:14" x14ac:dyDescent="0.25">
      <c r="A124" s="7" t="s">
        <v>104</v>
      </c>
      <c r="B124" s="8">
        <f>0.3+0.2+0.4</f>
        <v>0.9</v>
      </c>
      <c r="C124" s="8">
        <v>0.1</v>
      </c>
      <c r="D124" s="8">
        <v>0.2</v>
      </c>
      <c r="F124" s="8">
        <v>0</v>
      </c>
      <c r="G124" s="8">
        <v>0.2</v>
      </c>
      <c r="H124" s="8">
        <v>0</v>
      </c>
      <c r="I124" s="8">
        <v>0.5</v>
      </c>
      <c r="J124" s="7">
        <v>12</v>
      </c>
      <c r="K124" s="7">
        <v>1989</v>
      </c>
      <c r="L124" s="7">
        <v>12</v>
      </c>
      <c r="M124" s="7" t="s">
        <v>5</v>
      </c>
      <c r="N124" t="str">
        <f t="shared" si="1"/>
        <v>Ca.e</v>
      </c>
    </row>
    <row r="125" spans="1:14" x14ac:dyDescent="0.25">
      <c r="A125" s="7" t="s">
        <v>79</v>
      </c>
      <c r="B125" s="8">
        <f>0.1+0.1+0.3+0.3+0.1</f>
        <v>0.9</v>
      </c>
      <c r="C125" s="8">
        <v>0</v>
      </c>
      <c r="D125" s="8">
        <f>0.1+0.4</f>
        <v>0.5</v>
      </c>
      <c r="F125" s="8">
        <v>0</v>
      </c>
      <c r="G125" s="8">
        <v>0.2</v>
      </c>
      <c r="H125" s="8">
        <v>0</v>
      </c>
      <c r="I125" s="8">
        <v>0.4</v>
      </c>
      <c r="J125" s="7">
        <v>6</v>
      </c>
      <c r="K125" s="7">
        <v>1989</v>
      </c>
      <c r="L125" s="7">
        <v>12</v>
      </c>
      <c r="M125" s="7" t="s">
        <v>5</v>
      </c>
      <c r="N125" t="str">
        <f t="shared" si="1"/>
        <v>Da..</v>
      </c>
    </row>
    <row r="126" spans="1:14" x14ac:dyDescent="0.25">
      <c r="A126" s="7" t="s">
        <v>108</v>
      </c>
      <c r="B126" s="8">
        <f>229+63+87+5+26+45</f>
        <v>455</v>
      </c>
      <c r="C126" s="8">
        <v>109</v>
      </c>
      <c r="D126" s="8">
        <f>32+38+54+41</f>
        <v>165</v>
      </c>
      <c r="F126" s="8">
        <v>21</v>
      </c>
      <c r="G126" s="8">
        <v>91</v>
      </c>
      <c r="H126" s="8">
        <v>13.1</v>
      </c>
      <c r="I126" s="8">
        <v>296</v>
      </c>
      <c r="J126" s="7">
        <v>12</v>
      </c>
      <c r="K126" s="7">
        <v>1989</v>
      </c>
      <c r="L126" s="7">
        <v>12</v>
      </c>
      <c r="M126" s="7" t="s">
        <v>5</v>
      </c>
      <c r="N126" t="str">
        <f t="shared" si="1"/>
        <v>Fi.a</v>
      </c>
    </row>
    <row r="127" spans="1:14" x14ac:dyDescent="0.25">
      <c r="A127" s="7" t="s">
        <v>50</v>
      </c>
      <c r="B127" s="8">
        <f>607+4+215+2+24+22</f>
        <v>874</v>
      </c>
      <c r="C127" s="8">
        <v>125</v>
      </c>
      <c r="D127" s="8">
        <f>196+5+2</f>
        <v>203</v>
      </c>
      <c r="F127" s="8">
        <v>18</v>
      </c>
      <c r="G127" s="8">
        <v>500</v>
      </c>
      <c r="H127" s="8">
        <v>31</v>
      </c>
      <c r="I127" s="8">
        <f>15</f>
        <v>15</v>
      </c>
      <c r="J127" s="7">
        <v>6</v>
      </c>
      <c r="K127" s="7">
        <v>1989</v>
      </c>
      <c r="L127" s="7">
        <v>12</v>
      </c>
      <c r="M127" s="7" t="s">
        <v>5</v>
      </c>
      <c r="N127" t="str">
        <f t="shared" si="1"/>
        <v>Fr.i</v>
      </c>
    </row>
    <row r="128" spans="1:14" x14ac:dyDescent="0.25">
      <c r="A128" s="7" t="s">
        <v>105</v>
      </c>
      <c r="B128" s="8">
        <f>265+86+157+293+36+189</f>
        <v>1026</v>
      </c>
      <c r="C128" s="8">
        <v>48</v>
      </c>
      <c r="D128" s="8">
        <f>1+23+151+164+75</f>
        <v>414</v>
      </c>
      <c r="F128" s="8">
        <v>12</v>
      </c>
      <c r="G128" s="8">
        <v>402</v>
      </c>
      <c r="H128" s="8">
        <v>18.3</v>
      </c>
      <c r="I128" s="8">
        <v>412</v>
      </c>
      <c r="J128" s="7">
        <v>12</v>
      </c>
      <c r="K128" s="7">
        <v>1989</v>
      </c>
      <c r="L128" s="7">
        <v>12</v>
      </c>
      <c r="M128" s="7" t="s">
        <v>5</v>
      </c>
      <c r="N128" t="str">
        <f t="shared" si="1"/>
        <v>IS.M</v>
      </c>
    </row>
    <row r="129" spans="1:14" x14ac:dyDescent="0.25">
      <c r="A129" s="7" t="s">
        <v>110</v>
      </c>
      <c r="B129" s="8">
        <f>349+146+116+2+26+22</f>
        <v>661</v>
      </c>
      <c r="C129" s="8">
        <v>261</v>
      </c>
      <c r="D129" s="8">
        <f>2+21+59+60+138</f>
        <v>280</v>
      </c>
      <c r="F129" s="8">
        <v>16</v>
      </c>
      <c r="G129" s="8">
        <v>63</v>
      </c>
      <c r="H129" s="8">
        <v>8</v>
      </c>
      <c r="I129" s="8">
        <v>552</v>
      </c>
      <c r="J129" s="7">
        <v>12</v>
      </c>
      <c r="K129" s="7">
        <v>1989</v>
      </c>
      <c r="L129" s="7">
        <v>12</v>
      </c>
      <c r="M129" s="7" t="s">
        <v>5</v>
      </c>
      <c r="N129" t="str">
        <f t="shared" si="1"/>
        <v>La.a</v>
      </c>
    </row>
    <row r="130" spans="1:14" x14ac:dyDescent="0.25">
      <c r="A130" s="7" t="s">
        <v>109</v>
      </c>
      <c r="B130" s="8">
        <f>3287+1338+13615+30+674</f>
        <v>18944</v>
      </c>
      <c r="C130" s="8">
        <v>0.4</v>
      </c>
      <c r="D130" s="8">
        <f>16.1</f>
        <v>16.100000000000001</v>
      </c>
      <c r="E130" s="8">
        <v>15686</v>
      </c>
      <c r="F130" s="8">
        <v>340</v>
      </c>
      <c r="G130" s="8">
        <v>2047</v>
      </c>
      <c r="H130" s="8">
        <v>232</v>
      </c>
      <c r="I130" s="8">
        <f>1700+3</f>
        <v>1703</v>
      </c>
      <c r="J130" s="7">
        <v>6</v>
      </c>
      <c r="K130" s="7">
        <v>1989</v>
      </c>
      <c r="L130" s="9">
        <v>12</v>
      </c>
      <c r="M130" s="7" t="s">
        <v>5</v>
      </c>
      <c r="N130" t="str">
        <f t="shared" si="1"/>
        <v>Me.a</v>
      </c>
    </row>
    <row r="131" spans="1:14" x14ac:dyDescent="0.25">
      <c r="A131" s="7" t="s">
        <v>124</v>
      </c>
      <c r="B131" s="8">
        <f>91+70+90+16+16+28</f>
        <v>311</v>
      </c>
      <c r="C131" s="8">
        <v>42</v>
      </c>
      <c r="D131" s="8">
        <f>4+24+6+15+80</f>
        <v>129</v>
      </c>
      <c r="F131" s="8">
        <v>4.8</v>
      </c>
      <c r="G131" s="8">
        <v>98</v>
      </c>
      <c r="H131" s="8">
        <v>4.0999999999999996</v>
      </c>
      <c r="I131" s="8">
        <v>156</v>
      </c>
      <c r="J131" s="7">
        <v>3</v>
      </c>
      <c r="K131" s="7">
        <v>1990</v>
      </c>
      <c r="L131" s="7">
        <v>12</v>
      </c>
      <c r="M131" s="7" t="s">
        <v>5</v>
      </c>
      <c r="N131" t="str">
        <f t="shared" ref="N131:N194" si="2">CONCATENATE(LEFT(A131,2),".",RIGHT(A131,1))</f>
        <v>Ri.a</v>
      </c>
    </row>
    <row r="132" spans="1:14" x14ac:dyDescent="0.25">
      <c r="A132" s="7" t="s">
        <v>49</v>
      </c>
      <c r="B132" s="8">
        <f>0.2+0.1</f>
        <v>0.30000000000000004</v>
      </c>
      <c r="C132" s="8">
        <v>0</v>
      </c>
      <c r="D132" s="8">
        <v>0.2</v>
      </c>
      <c r="F132" s="8">
        <v>0</v>
      </c>
      <c r="G132" s="8">
        <v>0</v>
      </c>
      <c r="H132" s="8">
        <v>0</v>
      </c>
      <c r="I132" s="8">
        <v>0.3</v>
      </c>
      <c r="J132" s="7">
        <v>12</v>
      </c>
      <c r="K132" s="7">
        <v>1989</v>
      </c>
      <c r="L132" s="7">
        <v>12</v>
      </c>
      <c r="M132" s="7" t="s">
        <v>5</v>
      </c>
      <c r="N132" t="str">
        <f t="shared" si="2"/>
        <v>SA.G</v>
      </c>
    </row>
    <row r="133" spans="1:14" x14ac:dyDescent="0.25">
      <c r="A133" s="7" t="s">
        <v>56</v>
      </c>
      <c r="B133" s="8">
        <f>32+22+217+19+12+107</f>
        <v>409</v>
      </c>
      <c r="C133" s="8">
        <v>14</v>
      </c>
      <c r="D133" s="8">
        <v>2.8</v>
      </c>
      <c r="E133" s="8">
        <v>218</v>
      </c>
      <c r="F133" s="8">
        <v>12</v>
      </c>
      <c r="G133" s="8">
        <v>62</v>
      </c>
      <c r="H133" s="8">
        <v>10</v>
      </c>
      <c r="I133" s="8">
        <f>190+37+30</f>
        <v>257</v>
      </c>
      <c r="J133" s="7">
        <v>12</v>
      </c>
      <c r="K133" s="7">
        <v>1989</v>
      </c>
      <c r="L133" s="7">
        <v>12</v>
      </c>
      <c r="M133" s="7" t="s">
        <v>5</v>
      </c>
      <c r="N133" t="str">
        <f t="shared" si="2"/>
        <v>Vi.i</v>
      </c>
    </row>
    <row r="134" spans="1:14" x14ac:dyDescent="0.25">
      <c r="A134" s="7" t="s">
        <v>112</v>
      </c>
      <c r="B134" s="8">
        <f>18+20+37+2+7</f>
        <v>84</v>
      </c>
      <c r="C134" s="8">
        <v>11.2</v>
      </c>
      <c r="D134" s="8">
        <f>3+2+8+27</f>
        <v>40</v>
      </c>
      <c r="F134" s="8">
        <v>9</v>
      </c>
      <c r="G134" s="8">
        <v>10.1</v>
      </c>
      <c r="H134" s="8">
        <v>2.7</v>
      </c>
      <c r="I134" s="8">
        <v>105</v>
      </c>
      <c r="J134" s="7">
        <v>12</v>
      </c>
      <c r="K134" s="7">
        <v>1989</v>
      </c>
      <c r="L134" s="9">
        <v>12</v>
      </c>
      <c r="M134" s="7" t="s">
        <v>5</v>
      </c>
      <c r="N134" t="str">
        <f t="shared" si="2"/>
        <v>Ze.t</v>
      </c>
    </row>
    <row r="135" spans="1:14" x14ac:dyDescent="0.25">
      <c r="A135" s="7" t="s">
        <v>29</v>
      </c>
      <c r="B135" s="8">
        <f>53+1+2+2</f>
        <v>58</v>
      </c>
      <c r="C135" s="8">
        <v>25</v>
      </c>
      <c r="D135" s="8">
        <f>1.3+5.5+2.4</f>
        <v>9.1999999999999993</v>
      </c>
      <c r="F135" s="8">
        <v>5.4</v>
      </c>
      <c r="G135" s="8">
        <v>16.600000000000001</v>
      </c>
      <c r="H135" s="8">
        <v>1.5</v>
      </c>
      <c r="I135" s="8">
        <v>10.1</v>
      </c>
      <c r="J135" s="7">
        <v>12</v>
      </c>
      <c r="K135" s="7">
        <v>1990</v>
      </c>
      <c r="L135" s="7">
        <v>12</v>
      </c>
      <c r="M135" s="7" t="s">
        <v>5</v>
      </c>
      <c r="N135" t="str">
        <f t="shared" si="2"/>
        <v>Ac.y</v>
      </c>
    </row>
    <row r="136" spans="1:14" x14ac:dyDescent="0.25">
      <c r="A136" s="7" t="s">
        <v>122</v>
      </c>
      <c r="B136" s="8">
        <f>10+31+6+2+5+7</f>
        <v>61</v>
      </c>
      <c r="C136" s="8">
        <v>1.7</v>
      </c>
      <c r="D136" s="8">
        <f>17+29</f>
        <v>46</v>
      </c>
      <c r="F136" s="8">
        <v>6</v>
      </c>
      <c r="G136" s="8">
        <v>4.7</v>
      </c>
      <c r="H136" s="8">
        <v>0</v>
      </c>
      <c r="I136" s="8">
        <v>113</v>
      </c>
      <c r="J136" s="7">
        <v>10</v>
      </c>
      <c r="K136" s="7">
        <v>1990</v>
      </c>
      <c r="L136" s="9">
        <v>12</v>
      </c>
      <c r="M136" s="7" t="s">
        <v>5</v>
      </c>
      <c r="N136" t="str">
        <f t="shared" si="2"/>
        <v>Av.a</v>
      </c>
    </row>
    <row r="137" spans="1:14" x14ac:dyDescent="0.25">
      <c r="A137" s="7" t="s">
        <v>114</v>
      </c>
      <c r="B137" s="8">
        <f>753+999+90+3596+68+1645</f>
        <v>7151</v>
      </c>
      <c r="C137" s="8">
        <v>74</v>
      </c>
      <c r="D137" s="8">
        <v>45</v>
      </c>
      <c r="E137" s="8">
        <v>4812</v>
      </c>
      <c r="F137" s="8">
        <v>89</v>
      </c>
      <c r="G137" s="8">
        <v>246</v>
      </c>
      <c r="H137" s="8">
        <v>52</v>
      </c>
      <c r="I137" s="8">
        <f>525+55</f>
        <v>580</v>
      </c>
      <c r="J137" s="7">
        <v>12</v>
      </c>
      <c r="K137" s="7">
        <v>1990</v>
      </c>
      <c r="L137" s="7">
        <v>12</v>
      </c>
      <c r="M137" s="7" t="s">
        <v>5</v>
      </c>
      <c r="N137" t="str">
        <f t="shared" si="2"/>
        <v>Ba.o</v>
      </c>
    </row>
    <row r="138" spans="1:14" x14ac:dyDescent="0.25">
      <c r="A138" s="7" t="s">
        <v>113</v>
      </c>
      <c r="B138" s="8">
        <f>315+474+2+2279+24+361</f>
        <v>3455</v>
      </c>
      <c r="C138" s="8">
        <v>32</v>
      </c>
      <c r="D138" s="8">
        <v>13</v>
      </c>
      <c r="E138" s="8">
        <v>2614</v>
      </c>
      <c r="F138" s="8">
        <v>166</v>
      </c>
      <c r="G138" s="8">
        <v>206</v>
      </c>
      <c r="H138" s="8">
        <v>26</v>
      </c>
      <c r="I138" s="8">
        <f>278+37</f>
        <v>315</v>
      </c>
      <c r="J138" s="7">
        <v>12</v>
      </c>
      <c r="K138" s="7">
        <v>1990</v>
      </c>
      <c r="L138" s="7">
        <v>12</v>
      </c>
      <c r="M138" s="7" t="s">
        <v>5</v>
      </c>
      <c r="N138" t="str">
        <f t="shared" si="2"/>
        <v>Ba.i</v>
      </c>
    </row>
    <row r="139" spans="1:14" x14ac:dyDescent="0.25">
      <c r="A139" s="7" t="s">
        <v>33</v>
      </c>
      <c r="B139" s="8">
        <f>638+468+15+3265+79+529</f>
        <v>4994</v>
      </c>
      <c r="C139" s="8">
        <v>128</v>
      </c>
      <c r="D139" s="8">
        <v>36</v>
      </c>
      <c r="E139" s="8">
        <v>3543</v>
      </c>
      <c r="F139" s="8">
        <v>16.5</v>
      </c>
      <c r="G139" s="8">
        <v>327</v>
      </c>
      <c r="H139" s="8">
        <v>36</v>
      </c>
      <c r="I139" s="8">
        <f>453+51</f>
        <v>504</v>
      </c>
      <c r="J139" s="7">
        <v>12</v>
      </c>
      <c r="K139" s="7">
        <v>1990</v>
      </c>
      <c r="L139" s="7">
        <v>12</v>
      </c>
      <c r="M139" s="7" t="s">
        <v>5</v>
      </c>
      <c r="N139" t="str">
        <f t="shared" si="2"/>
        <v>Ba.a</v>
      </c>
    </row>
    <row r="140" spans="1:14" x14ac:dyDescent="0.25">
      <c r="A140" s="7" t="s">
        <v>115</v>
      </c>
      <c r="B140" s="8">
        <f>282+281+14+847+35+152</f>
        <v>1611</v>
      </c>
      <c r="C140" s="8">
        <v>36</v>
      </c>
      <c r="D140" s="8">
        <v>22</v>
      </c>
      <c r="E140" s="8">
        <v>1320</v>
      </c>
      <c r="F140" s="8">
        <v>6.6</v>
      </c>
      <c r="G140" s="8">
        <v>137</v>
      </c>
      <c r="H140" s="8">
        <v>12.7</v>
      </c>
      <c r="J140" s="7">
        <v>12</v>
      </c>
      <c r="K140" s="7">
        <v>1990</v>
      </c>
      <c r="L140" s="7">
        <v>12</v>
      </c>
      <c r="M140" s="7" t="s">
        <v>5</v>
      </c>
      <c r="N140" t="str">
        <f t="shared" si="2"/>
        <v>Ba.a</v>
      </c>
    </row>
    <row r="141" spans="1:14" x14ac:dyDescent="0.25">
      <c r="A141" s="7" t="s">
        <v>35</v>
      </c>
      <c r="B141" s="8">
        <f>0.5+0.3+0.8+0.1+0.3+0.3</f>
        <v>2.2999999999999998</v>
      </c>
      <c r="C141" s="8">
        <v>0.3</v>
      </c>
      <c r="D141" s="8">
        <f>0.8+0.5</f>
        <v>1.3</v>
      </c>
      <c r="F141" s="8">
        <v>0.1</v>
      </c>
      <c r="G141" s="8">
        <v>0.4</v>
      </c>
      <c r="H141" s="8">
        <v>0</v>
      </c>
      <c r="I141" s="8">
        <v>1.6</v>
      </c>
      <c r="J141" s="7">
        <v>12</v>
      </c>
      <c r="K141" s="7">
        <v>1990</v>
      </c>
      <c r="L141" s="7">
        <v>12</v>
      </c>
      <c r="M141" s="7" t="s">
        <v>5</v>
      </c>
      <c r="N141" t="str">
        <f t="shared" si="2"/>
        <v>Co.r</v>
      </c>
    </row>
    <row r="142" spans="1:14" x14ac:dyDescent="0.25">
      <c r="A142" s="7" t="s">
        <v>116</v>
      </c>
      <c r="B142" s="8">
        <f>296+1265+467+13+96+108</f>
        <v>2245</v>
      </c>
      <c r="C142" s="8">
        <v>166</v>
      </c>
      <c r="D142" s="8">
        <f>29+44+137+1439</f>
        <v>1649</v>
      </c>
      <c r="F142" s="8">
        <v>67</v>
      </c>
      <c r="G142" s="8">
        <v>171</v>
      </c>
      <c r="H142" s="8">
        <v>7.2</v>
      </c>
      <c r="I142" s="8">
        <v>1044</v>
      </c>
      <c r="J142" s="7">
        <v>12</v>
      </c>
      <c r="K142" s="7">
        <v>1990</v>
      </c>
      <c r="L142" s="7">
        <v>12</v>
      </c>
      <c r="M142" s="7" t="s">
        <v>5</v>
      </c>
      <c r="N142" t="str">
        <f t="shared" si="2"/>
        <v>Co.a</v>
      </c>
    </row>
    <row r="143" spans="1:14" x14ac:dyDescent="0.25">
      <c r="A143" s="7" t="s">
        <v>117</v>
      </c>
      <c r="B143" s="8">
        <f>796+170+343+70+14+6+3+130</f>
        <v>1532</v>
      </c>
      <c r="C143" s="8">
        <v>485</v>
      </c>
      <c r="D143" s="8">
        <f>108+168+120+171+60</f>
        <v>627</v>
      </c>
      <c r="F143" s="8">
        <v>347</v>
      </c>
      <c r="G143" s="8">
        <v>6.3</v>
      </c>
      <c r="H143" s="8">
        <v>15.6</v>
      </c>
      <c r="I143" s="8">
        <v>728</v>
      </c>
      <c r="J143" s="7">
        <v>12</v>
      </c>
      <c r="K143" s="7">
        <v>1990</v>
      </c>
      <c r="L143" s="9">
        <v>12</v>
      </c>
      <c r="M143" s="7" t="s">
        <v>5</v>
      </c>
      <c r="N143" t="str">
        <f t="shared" si="2"/>
        <v>Da.e</v>
      </c>
    </row>
    <row r="144" spans="1:14" x14ac:dyDescent="0.25">
      <c r="A144" s="7" t="s">
        <v>118</v>
      </c>
      <c r="B144" s="8">
        <f>465+136+171+1+4+88</f>
        <v>865</v>
      </c>
      <c r="C144" s="8">
        <v>156</v>
      </c>
      <c r="D144" s="8">
        <f>33+49+170+165</f>
        <v>417</v>
      </c>
      <c r="F144" s="8">
        <v>120</v>
      </c>
      <c r="G144" s="8">
        <v>115</v>
      </c>
      <c r="H144" s="8">
        <v>29</v>
      </c>
      <c r="I144" s="8">
        <v>779</v>
      </c>
      <c r="J144" s="7">
        <v>12</v>
      </c>
      <c r="K144" s="7">
        <v>1990</v>
      </c>
      <c r="L144" s="7">
        <v>12</v>
      </c>
      <c r="M144" s="7" t="s">
        <v>5</v>
      </c>
      <c r="N144" t="str">
        <f t="shared" si="2"/>
        <v>En.a</v>
      </c>
    </row>
    <row r="145" spans="1:14" x14ac:dyDescent="0.25">
      <c r="A145" s="7" t="s">
        <v>120</v>
      </c>
      <c r="B145" s="8">
        <f>0.3+0.1</f>
        <v>0.4</v>
      </c>
      <c r="C145" s="8">
        <v>0.1</v>
      </c>
      <c r="D145" s="8">
        <f>0.1</f>
        <v>0.1</v>
      </c>
      <c r="F145" s="8">
        <v>0</v>
      </c>
      <c r="G145" s="8">
        <v>0.1</v>
      </c>
      <c r="H145" s="8">
        <v>0</v>
      </c>
      <c r="I145" s="8">
        <v>0.5</v>
      </c>
      <c r="J145" s="7">
        <v>12</v>
      </c>
      <c r="K145" s="7">
        <v>1990</v>
      </c>
      <c r="L145" s="7">
        <v>12</v>
      </c>
      <c r="M145" s="7" t="s">
        <v>5</v>
      </c>
      <c r="N145" t="str">
        <f t="shared" si="2"/>
        <v>In.a</v>
      </c>
    </row>
    <row r="146" spans="1:14" x14ac:dyDescent="0.25">
      <c r="A146" s="7" t="s">
        <v>121</v>
      </c>
      <c r="B146" s="8">
        <v>0.4</v>
      </c>
      <c r="C146" s="8">
        <v>0.1</v>
      </c>
      <c r="D146" s="8">
        <v>0.2</v>
      </c>
      <c r="F146" s="8">
        <v>0</v>
      </c>
      <c r="G146" s="8">
        <v>0</v>
      </c>
      <c r="H146" s="8">
        <v>0</v>
      </c>
      <c r="I146" s="8">
        <v>0.3</v>
      </c>
      <c r="J146" s="7">
        <v>12</v>
      </c>
      <c r="K146" s="7">
        <v>1990</v>
      </c>
      <c r="L146" s="7">
        <v>12</v>
      </c>
      <c r="M146" s="7" t="s">
        <v>5</v>
      </c>
      <c r="N146" t="str">
        <f t="shared" si="2"/>
        <v>Jo.s</v>
      </c>
    </row>
    <row r="147" spans="1:14" x14ac:dyDescent="0.25">
      <c r="A147" s="7" t="s">
        <v>65</v>
      </c>
      <c r="B147" s="8">
        <f>1.3+0.5+0.8+0.5</f>
        <v>3.1</v>
      </c>
      <c r="C147" s="8">
        <v>0.5</v>
      </c>
      <c r="D147" s="8">
        <f>0.2+0.5+0.2+1.1</f>
        <v>2</v>
      </c>
      <c r="F147" s="8">
        <v>0.2</v>
      </c>
      <c r="G147" s="8">
        <v>0.3</v>
      </c>
      <c r="H147" s="8">
        <v>0.1</v>
      </c>
      <c r="I147" s="8">
        <v>3.8</v>
      </c>
      <c r="J147" s="7">
        <v>12</v>
      </c>
      <c r="K147" s="7">
        <v>1990</v>
      </c>
      <c r="L147" s="7">
        <v>12</v>
      </c>
      <c r="M147" s="7" t="s">
        <v>5</v>
      </c>
      <c r="N147" t="str">
        <f t="shared" si="2"/>
        <v>La.e</v>
      </c>
    </row>
    <row r="148" spans="1:14" x14ac:dyDescent="0.25">
      <c r="A148" s="7" t="s">
        <v>119</v>
      </c>
      <c r="B148" s="8">
        <f>0.4+0.2+0.4+0.1</f>
        <v>1.1000000000000001</v>
      </c>
      <c r="C148" s="8">
        <v>0.2</v>
      </c>
      <c r="D148" s="8">
        <v>0.5</v>
      </c>
      <c r="F148" s="8">
        <v>0</v>
      </c>
      <c r="G148" s="8">
        <v>0</v>
      </c>
      <c r="H148" s="8">
        <v>0</v>
      </c>
      <c r="I148" s="8">
        <v>1.1000000000000001</v>
      </c>
      <c r="J148" s="7">
        <v>12</v>
      </c>
      <c r="K148" s="7">
        <v>1990</v>
      </c>
      <c r="L148" s="7">
        <v>12</v>
      </c>
      <c r="M148" s="7" t="s">
        <v>5</v>
      </c>
      <c r="N148" t="str">
        <f t="shared" si="2"/>
        <v>Me.i</v>
      </c>
    </row>
    <row r="149" spans="1:14" x14ac:dyDescent="0.25">
      <c r="A149" s="7" t="s">
        <v>123</v>
      </c>
      <c r="B149" s="8">
        <f>100+6+4</f>
        <v>110</v>
      </c>
      <c r="C149" s="8">
        <v>40</v>
      </c>
      <c r="D149" s="8">
        <f>18+15+2+1</f>
        <v>36</v>
      </c>
      <c r="F149" s="8">
        <v>18.7</v>
      </c>
      <c r="G149" s="8">
        <v>13.4</v>
      </c>
      <c r="H149" s="8">
        <v>0.3</v>
      </c>
      <c r="I149" s="8">
        <v>15.1</v>
      </c>
      <c r="J149" s="7">
        <v>12</v>
      </c>
      <c r="K149" s="7">
        <v>1990</v>
      </c>
      <c r="L149" s="7">
        <v>12</v>
      </c>
      <c r="M149" s="7" t="s">
        <v>5</v>
      </c>
      <c r="N149" t="str">
        <f t="shared" si="2"/>
        <v>Pr.a</v>
      </c>
    </row>
    <row r="150" spans="1:14" x14ac:dyDescent="0.25">
      <c r="A150" s="7" t="s">
        <v>42</v>
      </c>
      <c r="B150" s="8">
        <f>1+0.3+0.5+0.2</f>
        <v>2</v>
      </c>
      <c r="C150" s="8">
        <v>0.4</v>
      </c>
      <c r="D150" s="8">
        <f>0.3+0.8</f>
        <v>1.1000000000000001</v>
      </c>
      <c r="F150" s="8">
        <v>0.2</v>
      </c>
      <c r="G150" s="8">
        <v>0.1</v>
      </c>
      <c r="H150" s="8">
        <v>0</v>
      </c>
      <c r="I150" s="8">
        <v>1.5</v>
      </c>
      <c r="J150" s="7">
        <v>12</v>
      </c>
      <c r="K150" s="7">
        <v>1990</v>
      </c>
      <c r="L150" s="7">
        <v>12</v>
      </c>
      <c r="M150" s="7" t="s">
        <v>5</v>
      </c>
      <c r="N150" t="str">
        <f t="shared" si="2"/>
        <v>SM.a</v>
      </c>
    </row>
    <row r="151" spans="1:14" x14ac:dyDescent="0.25">
      <c r="A151" s="7" t="s">
        <v>125</v>
      </c>
      <c r="B151" s="8">
        <f>14865+95+244+10+201+487</f>
        <v>15902</v>
      </c>
      <c r="C151" s="8">
        <v>5122</v>
      </c>
      <c r="D151" s="8">
        <f>490+225+4440+499+1230</f>
        <v>6884</v>
      </c>
      <c r="F151" s="8">
        <v>1183</v>
      </c>
      <c r="G151" s="8">
        <v>1693</v>
      </c>
      <c r="H151" s="8">
        <v>149</v>
      </c>
      <c r="I151" s="8">
        <v>2341</v>
      </c>
      <c r="J151" s="7">
        <v>12</v>
      </c>
      <c r="K151" s="7">
        <v>1991</v>
      </c>
      <c r="L151" s="7">
        <v>12</v>
      </c>
      <c r="M151" s="7" t="s">
        <v>5</v>
      </c>
      <c r="N151" t="str">
        <f t="shared" si="2"/>
        <v>Au.e</v>
      </c>
    </row>
    <row r="152" spans="1:14" x14ac:dyDescent="0.25">
      <c r="A152" s="7" t="s">
        <v>86</v>
      </c>
      <c r="B152" s="8">
        <f>219+344+31+1165+62+370</f>
        <v>2191</v>
      </c>
      <c r="C152" s="8">
        <v>28</v>
      </c>
      <c r="D152" s="8">
        <v>23</v>
      </c>
      <c r="E152" s="8">
        <v>1544</v>
      </c>
      <c r="F152" s="8">
        <v>11</v>
      </c>
      <c r="G152" s="8">
        <v>199</v>
      </c>
      <c r="H152" s="8">
        <v>19.100000000000001</v>
      </c>
      <c r="I152" s="8">
        <f>168+13</f>
        <v>181</v>
      </c>
      <c r="J152" s="7">
        <v>12</v>
      </c>
      <c r="K152" s="7">
        <v>1991</v>
      </c>
      <c r="L152" s="7">
        <v>12</v>
      </c>
      <c r="M152" s="7" t="s">
        <v>5</v>
      </c>
      <c r="N152" t="str">
        <f t="shared" si="2"/>
        <v>Ba.a</v>
      </c>
    </row>
    <row r="153" spans="1:14" x14ac:dyDescent="0.25">
      <c r="A153" s="7" t="s">
        <v>126</v>
      </c>
      <c r="B153" s="8">
        <f>6265+11805+1430+44995+1968+9412</f>
        <v>75875</v>
      </c>
      <c r="C153" s="8">
        <v>944</v>
      </c>
      <c r="D153" s="8">
        <v>2415</v>
      </c>
      <c r="E153" s="8">
        <v>58118</v>
      </c>
      <c r="F153" s="8">
        <v>1010</v>
      </c>
      <c r="G153" s="8">
        <v>2601</v>
      </c>
      <c r="H153" s="8">
        <v>158</v>
      </c>
      <c r="I153" s="8">
        <f>5819+297</f>
        <v>6116</v>
      </c>
      <c r="J153" s="7">
        <v>12</v>
      </c>
      <c r="K153" s="7">
        <v>1991</v>
      </c>
      <c r="L153" s="7">
        <v>12</v>
      </c>
      <c r="M153" s="7" t="s">
        <v>5</v>
      </c>
      <c r="N153" t="str">
        <f t="shared" si="2"/>
        <v>Ba.i</v>
      </c>
    </row>
    <row r="154" spans="1:14" x14ac:dyDescent="0.25">
      <c r="A154" s="7" t="s">
        <v>130</v>
      </c>
      <c r="B154" s="8">
        <f>11+20+9+9+3+3</f>
        <v>55</v>
      </c>
      <c r="C154" s="8">
        <v>3.3</v>
      </c>
      <c r="D154" s="8">
        <f>7+29+2</f>
        <v>38</v>
      </c>
      <c r="F154" s="8">
        <v>5.0999999999999996</v>
      </c>
      <c r="G154" s="8">
        <v>5.4</v>
      </c>
      <c r="H154" s="8">
        <v>0.7</v>
      </c>
      <c r="I154" s="8">
        <v>63</v>
      </c>
      <c r="J154" s="7">
        <v>12</v>
      </c>
      <c r="K154" s="7">
        <v>1991</v>
      </c>
      <c r="L154" s="7">
        <v>12</v>
      </c>
      <c r="M154" s="7" t="s">
        <v>5</v>
      </c>
      <c r="N154" t="str">
        <f t="shared" si="2"/>
        <v>Ca.o</v>
      </c>
    </row>
    <row r="155" spans="1:14" x14ac:dyDescent="0.25">
      <c r="A155" s="7" t="s">
        <v>118</v>
      </c>
      <c r="B155" s="8">
        <f>541+139+137+2+2+105</f>
        <v>926</v>
      </c>
      <c r="C155" s="8">
        <v>135</v>
      </c>
      <c r="D155" s="8">
        <f>36+43+255+107</f>
        <v>441</v>
      </c>
      <c r="F155" s="8">
        <v>120</v>
      </c>
      <c r="G155" s="8">
        <v>143</v>
      </c>
      <c r="H155" s="8">
        <v>20</v>
      </c>
      <c r="I155" s="8">
        <v>779</v>
      </c>
      <c r="J155" s="7">
        <v>12</v>
      </c>
      <c r="K155" s="7">
        <v>1991</v>
      </c>
      <c r="L155" s="7">
        <v>12</v>
      </c>
      <c r="M155" s="7" t="s">
        <v>5</v>
      </c>
      <c r="N155" t="str">
        <f t="shared" si="2"/>
        <v>En.a</v>
      </c>
    </row>
    <row r="156" spans="1:14" x14ac:dyDescent="0.25">
      <c r="A156" s="7" t="s">
        <v>127</v>
      </c>
      <c r="B156" s="8">
        <f>562+9392+84+157+3666+870</f>
        <v>14731</v>
      </c>
      <c r="C156" s="8">
        <v>1808</v>
      </c>
      <c r="D156" s="8">
        <f>210+5112+5494</f>
        <v>10816</v>
      </c>
      <c r="F156" s="8">
        <v>250</v>
      </c>
      <c r="G156" s="8">
        <v>683</v>
      </c>
      <c r="H156" s="8">
        <v>214</v>
      </c>
      <c r="I156" s="8">
        <f>1511+1185</f>
        <v>2696</v>
      </c>
      <c r="J156" s="7">
        <v>12</v>
      </c>
      <c r="K156" s="7">
        <v>1991</v>
      </c>
      <c r="L156" s="7">
        <v>12</v>
      </c>
      <c r="M156" s="7" t="s">
        <v>5</v>
      </c>
      <c r="N156" t="str">
        <f t="shared" si="2"/>
        <v>Fi.o</v>
      </c>
    </row>
    <row r="157" spans="1:14" x14ac:dyDescent="0.25">
      <c r="A157" s="7" t="s">
        <v>129</v>
      </c>
      <c r="B157" s="8">
        <f>2006+23+19+162</f>
        <v>2210</v>
      </c>
      <c r="C157" s="8">
        <v>12.8</v>
      </c>
      <c r="D157" s="8">
        <f>100+268</f>
        <v>368</v>
      </c>
      <c r="F157" s="8">
        <v>482</v>
      </c>
      <c r="G157" s="8">
        <v>1158</v>
      </c>
      <c r="H157" s="8">
        <v>150</v>
      </c>
      <c r="I157" s="8">
        <f>103+240</f>
        <v>343</v>
      </c>
      <c r="J157" s="7">
        <v>12</v>
      </c>
      <c r="K157" s="7">
        <v>1991</v>
      </c>
      <c r="L157" s="7">
        <v>12</v>
      </c>
      <c r="M157" s="7" t="s">
        <v>5</v>
      </c>
      <c r="N157" t="str">
        <f t="shared" si="2"/>
        <v>IF.L</v>
      </c>
    </row>
    <row r="158" spans="1:14" x14ac:dyDescent="0.25">
      <c r="A158" s="7" t="s">
        <v>128</v>
      </c>
      <c r="B158" s="8">
        <f>215+2509+2+45</f>
        <v>2771</v>
      </c>
      <c r="C158" s="8">
        <v>138</v>
      </c>
      <c r="D158" s="8">
        <f>1448+701</f>
        <v>2149</v>
      </c>
      <c r="F158" s="8">
        <v>172</v>
      </c>
      <c r="G158" s="8">
        <v>259</v>
      </c>
      <c r="H158" s="8">
        <v>31</v>
      </c>
      <c r="I158" s="8">
        <f>323+18</f>
        <v>341</v>
      </c>
      <c r="J158" s="7">
        <v>12</v>
      </c>
      <c r="K158" s="7">
        <v>1991</v>
      </c>
      <c r="L158" s="7">
        <v>12</v>
      </c>
      <c r="M158" s="7" t="s">
        <v>5</v>
      </c>
      <c r="N158" t="str">
        <f t="shared" si="2"/>
        <v xml:space="preserve">SI. </v>
      </c>
    </row>
    <row r="159" spans="1:14" x14ac:dyDescent="0.25">
      <c r="A159" s="7" t="s">
        <v>131</v>
      </c>
      <c r="B159" s="8">
        <f>1.4+2.6+1+1.2</f>
        <v>6.2</v>
      </c>
      <c r="C159" s="8">
        <v>0</v>
      </c>
      <c r="D159" s="8">
        <f>0</f>
        <v>0</v>
      </c>
      <c r="E159" s="8">
        <v>5.0999999999999996</v>
      </c>
      <c r="F159" s="8">
        <v>0</v>
      </c>
      <c r="G159" s="8">
        <v>0.4</v>
      </c>
      <c r="H159" s="8">
        <v>0</v>
      </c>
      <c r="I159" s="8">
        <v>0.5</v>
      </c>
      <c r="J159" s="7">
        <v>12</v>
      </c>
      <c r="K159" s="7">
        <v>1992</v>
      </c>
      <c r="L159" s="7">
        <v>12</v>
      </c>
      <c r="M159" s="7" t="s">
        <v>5</v>
      </c>
      <c r="N159" t="str">
        <f t="shared" si="2"/>
        <v>Ba.a</v>
      </c>
    </row>
    <row r="160" spans="1:14" x14ac:dyDescent="0.25">
      <c r="A160" s="7" t="s">
        <v>35</v>
      </c>
      <c r="B160" s="8">
        <f>0.4+0.3+0.8+0.8</f>
        <v>2.2999999999999998</v>
      </c>
      <c r="C160" s="8">
        <v>0.3</v>
      </c>
      <c r="D160" s="8">
        <v>1.5</v>
      </c>
      <c r="F160" s="8">
        <v>0.1</v>
      </c>
      <c r="G160" s="8">
        <v>0.4</v>
      </c>
      <c r="H160" s="8">
        <v>0</v>
      </c>
      <c r="I160" s="8">
        <v>1.6</v>
      </c>
      <c r="J160" s="7">
        <v>12</v>
      </c>
      <c r="K160" s="7">
        <v>1992</v>
      </c>
      <c r="L160" s="7">
        <v>12</v>
      </c>
      <c r="M160" s="7" t="s">
        <v>5</v>
      </c>
      <c r="N160" t="str">
        <f t="shared" si="2"/>
        <v>Co.r</v>
      </c>
    </row>
    <row r="161" spans="1:14" x14ac:dyDescent="0.25">
      <c r="A161" s="7" t="s">
        <v>132</v>
      </c>
      <c r="B161" s="8">
        <f>125+30+57+3+6</f>
        <v>221</v>
      </c>
      <c r="C161" s="8">
        <v>41</v>
      </c>
      <c r="D161" s="8">
        <f>5+12+65+25</f>
        <v>107</v>
      </c>
      <c r="F161" s="8">
        <v>10</v>
      </c>
      <c r="G161" s="8">
        <v>14.7</v>
      </c>
      <c r="H161" s="8">
        <v>-17.600000000000001</v>
      </c>
      <c r="I161" s="8">
        <v>122</v>
      </c>
      <c r="J161" s="7">
        <v>12</v>
      </c>
      <c r="K161" s="7">
        <v>1992</v>
      </c>
      <c r="L161" s="7">
        <v>12</v>
      </c>
      <c r="M161" s="7" t="s">
        <v>5</v>
      </c>
      <c r="N161" t="str">
        <f t="shared" si="2"/>
        <v>Fa.i</v>
      </c>
    </row>
    <row r="162" spans="1:14" x14ac:dyDescent="0.25">
      <c r="A162" s="7" t="s">
        <v>81</v>
      </c>
      <c r="B162" s="8">
        <f>43+15+28+7+9</f>
        <v>102</v>
      </c>
      <c r="C162" s="8">
        <v>24</v>
      </c>
      <c r="D162" s="8">
        <f>8+4+16</f>
        <v>28</v>
      </c>
      <c r="F162" s="8">
        <v>12.5</v>
      </c>
      <c r="G162" s="8">
        <v>19</v>
      </c>
      <c r="H162" s="8">
        <v>4</v>
      </c>
      <c r="I162" s="8">
        <v>88</v>
      </c>
      <c r="J162" s="7">
        <v>12</v>
      </c>
      <c r="K162" s="7">
        <v>1992</v>
      </c>
      <c r="L162" s="7">
        <v>12</v>
      </c>
      <c r="M162" s="7" t="s">
        <v>5</v>
      </c>
      <c r="N162" t="str">
        <f t="shared" si="2"/>
        <v>Fa.a</v>
      </c>
    </row>
    <row r="163" spans="1:14" x14ac:dyDescent="0.25">
      <c r="A163" s="7" t="s">
        <v>135</v>
      </c>
      <c r="B163" s="8">
        <f>37+14+19+30+33</f>
        <v>133</v>
      </c>
      <c r="C163" s="8">
        <v>17.8</v>
      </c>
      <c r="D163" s="8">
        <f>3+12+30+13</f>
        <v>58</v>
      </c>
      <c r="F163" s="8">
        <v>38</v>
      </c>
      <c r="G163" s="8">
        <v>19.5</v>
      </c>
      <c r="H163" s="8">
        <v>-4.3</v>
      </c>
      <c r="I163" s="8">
        <v>40</v>
      </c>
      <c r="J163" s="7">
        <v>12</v>
      </c>
      <c r="K163" s="7">
        <v>1992</v>
      </c>
      <c r="L163" s="7">
        <v>12</v>
      </c>
      <c r="M163" s="7" t="s">
        <v>5</v>
      </c>
      <c r="N163" t="str">
        <f t="shared" si="2"/>
        <v>In.o</v>
      </c>
    </row>
    <row r="164" spans="1:14" x14ac:dyDescent="0.25">
      <c r="A164" s="7" t="s">
        <v>134</v>
      </c>
      <c r="B164" s="8">
        <f>481+102+1866+140+13+2019</f>
        <v>4621</v>
      </c>
      <c r="C164" s="8">
        <v>133</v>
      </c>
      <c r="D164" s="8">
        <f>20</f>
        <v>20</v>
      </c>
      <c r="E164" s="8">
        <v>2933</v>
      </c>
      <c r="F164" s="8">
        <v>105</v>
      </c>
      <c r="G164" s="8">
        <v>1110</v>
      </c>
      <c r="H164" s="8">
        <v>-52</v>
      </c>
      <c r="I164" s="8">
        <f>1859+151+262</f>
        <v>2272</v>
      </c>
      <c r="J164" s="7">
        <v>12</v>
      </c>
      <c r="K164" s="7">
        <v>1992</v>
      </c>
      <c r="L164" s="7">
        <v>12</v>
      </c>
      <c r="M164" s="7" t="s">
        <v>5</v>
      </c>
      <c r="N164" t="str">
        <f t="shared" si="2"/>
        <v>La.i</v>
      </c>
    </row>
    <row r="165" spans="1:14" x14ac:dyDescent="0.25">
      <c r="A165" s="7" t="s">
        <v>36</v>
      </c>
      <c r="B165" s="8">
        <f>216+42+42+10+4+29</f>
        <v>343</v>
      </c>
      <c r="C165" s="8">
        <v>144</v>
      </c>
      <c r="D165" s="8">
        <f>17+42+63+19</f>
        <v>141</v>
      </c>
      <c r="F165" s="8">
        <v>36</v>
      </c>
      <c r="G165" s="8">
        <v>28</v>
      </c>
      <c r="H165" s="8">
        <v>-20</v>
      </c>
      <c r="I165" s="8">
        <v>106</v>
      </c>
      <c r="J165" s="7">
        <v>12</v>
      </c>
      <c r="K165" s="7">
        <v>1992</v>
      </c>
      <c r="L165" s="9">
        <v>12</v>
      </c>
      <c r="M165" s="7" t="s">
        <v>5</v>
      </c>
      <c r="N165" t="str">
        <f t="shared" si="2"/>
        <v>Li.e</v>
      </c>
    </row>
    <row r="166" spans="1:14" x14ac:dyDescent="0.25">
      <c r="A166" s="7" t="s">
        <v>133</v>
      </c>
      <c r="B166" s="8">
        <f>539+8+125+11+5</f>
        <v>688</v>
      </c>
      <c r="C166" s="8">
        <v>187</v>
      </c>
      <c r="D166" s="8">
        <f>19+157+2+74+101</f>
        <v>353</v>
      </c>
      <c r="F166" s="8">
        <v>31</v>
      </c>
      <c r="G166" s="8">
        <v>108</v>
      </c>
      <c r="H166" s="8">
        <v>0.1</v>
      </c>
      <c r="I166" s="8">
        <v>187</v>
      </c>
      <c r="J166" s="7">
        <v>12</v>
      </c>
      <c r="K166" s="7">
        <v>1992</v>
      </c>
      <c r="L166" s="7">
        <v>12</v>
      </c>
      <c r="M166" s="7" t="s">
        <v>5</v>
      </c>
      <c r="N166" t="str">
        <f t="shared" si="2"/>
        <v>Na.s</v>
      </c>
    </row>
    <row r="167" spans="1:14" x14ac:dyDescent="0.25">
      <c r="A167" s="7" t="s">
        <v>46</v>
      </c>
      <c r="B167" s="8">
        <f>1354+1966+5623+340+616+2197</f>
        <v>12096</v>
      </c>
      <c r="C167" s="8">
        <v>306</v>
      </c>
      <c r="D167" s="8">
        <v>916</v>
      </c>
      <c r="F167" s="8">
        <v>271</v>
      </c>
      <c r="G167" s="8">
        <v>2732</v>
      </c>
      <c r="H167" s="8">
        <v>95</v>
      </c>
      <c r="I167" s="8">
        <f>3720+493+868</f>
        <v>5081</v>
      </c>
      <c r="J167" s="7">
        <v>12</v>
      </c>
      <c r="K167" s="7">
        <v>1992</v>
      </c>
      <c r="L167" s="7">
        <v>12</v>
      </c>
      <c r="M167" s="7" t="s">
        <v>5</v>
      </c>
      <c r="N167" t="str">
        <f t="shared" si="2"/>
        <v>Ri.)</v>
      </c>
    </row>
    <row r="168" spans="1:14" x14ac:dyDescent="0.25">
      <c r="A168" s="7" t="s">
        <v>136</v>
      </c>
      <c r="B168" s="8">
        <f>762+605+511+128+935+217</f>
        <v>3158</v>
      </c>
      <c r="C168" s="8">
        <v>419</v>
      </c>
      <c r="D168" s="8">
        <f>10+131+3+15+880</f>
        <v>1039</v>
      </c>
      <c r="F168" s="8">
        <v>220</v>
      </c>
      <c r="G168" s="8">
        <v>932</v>
      </c>
      <c r="H168" s="8">
        <v>276</v>
      </c>
      <c r="I168" s="8">
        <v>1630</v>
      </c>
      <c r="J168" s="7">
        <v>12</v>
      </c>
      <c r="K168" s="7">
        <v>1992</v>
      </c>
      <c r="L168" s="7">
        <v>12</v>
      </c>
      <c r="M168" s="7" t="s">
        <v>5</v>
      </c>
      <c r="N168" t="str">
        <f t="shared" si="2"/>
        <v>Si.i</v>
      </c>
    </row>
    <row r="169" spans="1:14" x14ac:dyDescent="0.25">
      <c r="A169" s="7" t="s">
        <v>137</v>
      </c>
      <c r="B169" s="8">
        <f>446+2+27+17+7+4+16</f>
        <v>519</v>
      </c>
      <c r="C169" s="8">
        <v>192</v>
      </c>
      <c r="D169" s="8">
        <f>15+40+31+31+11</f>
        <v>128</v>
      </c>
      <c r="F169" s="8">
        <v>13.5</v>
      </c>
      <c r="G169" s="8">
        <v>174</v>
      </c>
      <c r="H169" s="8">
        <v>8.1</v>
      </c>
      <c r="I169" s="8">
        <v>114</v>
      </c>
      <c r="J169" s="7">
        <v>12</v>
      </c>
      <c r="K169" s="7">
        <v>1993</v>
      </c>
      <c r="L169" s="7">
        <v>12</v>
      </c>
      <c r="M169" s="7" t="s">
        <v>5</v>
      </c>
      <c r="N169" t="str">
        <f t="shared" si="2"/>
        <v>Au.o</v>
      </c>
    </row>
    <row r="170" spans="1:14" x14ac:dyDescent="0.25">
      <c r="A170" s="7" t="s">
        <v>125</v>
      </c>
      <c r="B170" s="8">
        <f>18736+197+257+12+267+380</f>
        <v>19849</v>
      </c>
      <c r="C170" s="8">
        <v>7916</v>
      </c>
      <c r="D170" s="8">
        <f>653+276+5288+564+897</f>
        <v>7678</v>
      </c>
      <c r="F170" s="8">
        <v>1183</v>
      </c>
      <c r="G170" s="8">
        <v>1757</v>
      </c>
      <c r="H170" s="8">
        <v>99</v>
      </c>
      <c r="I170" s="8">
        <v>2547</v>
      </c>
      <c r="J170" s="7">
        <v>12</v>
      </c>
      <c r="K170" s="7">
        <v>1993</v>
      </c>
      <c r="L170" s="7">
        <v>12</v>
      </c>
      <c r="M170" s="7" t="s">
        <v>5</v>
      </c>
      <c r="N170" t="str">
        <f t="shared" si="2"/>
        <v>Au.e</v>
      </c>
    </row>
    <row r="171" spans="1:14" x14ac:dyDescent="0.25">
      <c r="A171" s="7" t="s">
        <v>107</v>
      </c>
      <c r="B171" s="8">
        <f>168+5948+2592+27+35238+1243+3218</f>
        <v>48434</v>
      </c>
      <c r="C171" s="8">
        <v>305</v>
      </c>
      <c r="D171" s="8">
        <f>786+868</f>
        <v>1654</v>
      </c>
      <c r="E171" s="8">
        <v>42643</v>
      </c>
      <c r="F171" s="8">
        <v>18</v>
      </c>
      <c r="G171" s="8">
        <v>1007</v>
      </c>
      <c r="H171" s="8">
        <v>-60</v>
      </c>
      <c r="I171" s="8">
        <f>4328+203+188</f>
        <v>4719</v>
      </c>
      <c r="J171" s="7">
        <v>12</v>
      </c>
      <c r="K171" s="7">
        <v>1993</v>
      </c>
      <c r="L171" s="7">
        <v>12</v>
      </c>
      <c r="M171" s="7" t="s">
        <v>5</v>
      </c>
      <c r="N171" t="str">
        <f t="shared" si="2"/>
        <v>Bo.a</v>
      </c>
    </row>
    <row r="172" spans="1:14" x14ac:dyDescent="0.25">
      <c r="A172" s="7" t="s">
        <v>41</v>
      </c>
      <c r="B172" s="8">
        <f>18+15+6</f>
        <v>39</v>
      </c>
      <c r="C172" s="8">
        <v>0</v>
      </c>
      <c r="D172" s="8">
        <v>16.5</v>
      </c>
      <c r="F172" s="8">
        <v>18.100000000000001</v>
      </c>
      <c r="G172" s="8">
        <v>0.3</v>
      </c>
      <c r="H172" s="8">
        <v>0.4</v>
      </c>
      <c r="I172" s="8">
        <f>0.4+0.7</f>
        <v>1.1000000000000001</v>
      </c>
      <c r="J172" s="7">
        <v>12</v>
      </c>
      <c r="K172" s="7">
        <v>1993</v>
      </c>
      <c r="L172" s="7">
        <v>12</v>
      </c>
      <c r="M172" s="7" t="s">
        <v>5</v>
      </c>
      <c r="N172" t="str">
        <f t="shared" si="2"/>
        <v>Bo.a</v>
      </c>
    </row>
    <row r="173" spans="1:14" x14ac:dyDescent="0.25">
      <c r="A173" s="7" t="s">
        <v>148</v>
      </c>
      <c r="B173" s="8">
        <f>156+54+25+37+57</f>
        <v>329</v>
      </c>
      <c r="C173" s="8">
        <v>15.3</v>
      </c>
      <c r="D173" s="8">
        <f>7+52+57+22</f>
        <v>138</v>
      </c>
      <c r="F173" s="8">
        <v>156</v>
      </c>
      <c r="G173" s="8">
        <v>-6</v>
      </c>
      <c r="H173" s="8">
        <v>-4.5999999999999996</v>
      </c>
      <c r="I173" s="8">
        <v>88</v>
      </c>
      <c r="J173" s="7">
        <v>12</v>
      </c>
      <c r="K173" s="7">
        <v>1993</v>
      </c>
      <c r="L173" s="7">
        <v>12</v>
      </c>
      <c r="M173" s="7" t="s">
        <v>5</v>
      </c>
      <c r="N173" t="str">
        <f t="shared" si="2"/>
        <v>Br.r</v>
      </c>
    </row>
    <row r="174" spans="1:14" x14ac:dyDescent="0.25">
      <c r="A174" s="7" t="s">
        <v>103</v>
      </c>
      <c r="B174" s="8">
        <f>238+7+11+61+9+11+14</f>
        <v>351</v>
      </c>
      <c r="C174" s="8">
        <v>97</v>
      </c>
      <c r="D174" s="8">
        <f>4+4+41+33</f>
        <v>82</v>
      </c>
      <c r="F174" s="8">
        <v>45</v>
      </c>
      <c r="G174" s="8">
        <v>115</v>
      </c>
      <c r="H174" s="8">
        <v>10</v>
      </c>
      <c r="I174" s="8">
        <v>67</v>
      </c>
      <c r="J174" s="7">
        <v>12</v>
      </c>
      <c r="K174" s="7">
        <v>1993</v>
      </c>
      <c r="L174" s="9">
        <v>12</v>
      </c>
      <c r="M174" s="7" t="s">
        <v>5</v>
      </c>
      <c r="N174" t="str">
        <f t="shared" si="2"/>
        <v>Ce.a</v>
      </c>
    </row>
    <row r="175" spans="1:14" x14ac:dyDescent="0.25">
      <c r="A175" s="7" t="s">
        <v>140</v>
      </c>
      <c r="B175" s="8">
        <f>1.4+0.3</f>
        <v>1.7</v>
      </c>
      <c r="C175" s="8">
        <v>0.3</v>
      </c>
      <c r="D175" s="8">
        <v>1.2</v>
      </c>
      <c r="F175" s="8">
        <v>0.2</v>
      </c>
      <c r="G175" s="8">
        <v>0</v>
      </c>
      <c r="H175" s="8">
        <v>0</v>
      </c>
      <c r="I175" s="8">
        <v>0.5</v>
      </c>
      <c r="J175" s="7">
        <v>12</v>
      </c>
      <c r="K175" s="7">
        <v>1993</v>
      </c>
      <c r="L175" s="9">
        <v>12</v>
      </c>
      <c r="M175" s="7" t="s">
        <v>5</v>
      </c>
      <c r="N175" t="str">
        <f t="shared" si="2"/>
        <v>CI.A</v>
      </c>
    </row>
    <row r="176" spans="1:14" x14ac:dyDescent="0.25">
      <c r="A176" s="7" t="s">
        <v>138</v>
      </c>
      <c r="B176" s="8">
        <f>9+40+4+226+2+5</f>
        <v>286</v>
      </c>
      <c r="C176" s="8">
        <v>1.7</v>
      </c>
      <c r="D176" s="8">
        <v>2.1</v>
      </c>
      <c r="E176" s="8">
        <v>267</v>
      </c>
      <c r="F176" s="8">
        <v>1.4</v>
      </c>
      <c r="G176" s="8">
        <v>9</v>
      </c>
      <c r="H176" s="8">
        <v>0.6</v>
      </c>
      <c r="I176" s="8">
        <f>20+2</f>
        <v>22</v>
      </c>
      <c r="J176" s="7">
        <v>12</v>
      </c>
      <c r="K176" s="7">
        <v>1993</v>
      </c>
      <c r="L176" s="7">
        <v>12</v>
      </c>
      <c r="M176" s="7" t="s">
        <v>139</v>
      </c>
      <c r="N176" t="str">
        <f t="shared" si="2"/>
        <v>Co.G</v>
      </c>
    </row>
    <row r="177" spans="1:14" x14ac:dyDescent="0.25">
      <c r="A177" s="7" t="s">
        <v>142</v>
      </c>
      <c r="B177" s="8">
        <f>246+9+1+657</f>
        <v>913</v>
      </c>
      <c r="C177" s="8">
        <v>33</v>
      </c>
      <c r="D177" s="8">
        <v>0.3</v>
      </c>
      <c r="E177" s="8">
        <v>4.4000000000000004</v>
      </c>
      <c r="F177" s="8">
        <v>58</v>
      </c>
      <c r="G177" s="8">
        <v>288</v>
      </c>
      <c r="H177" s="8">
        <v>-43</v>
      </c>
      <c r="I177" s="8">
        <f>5+20</f>
        <v>25</v>
      </c>
      <c r="J177" s="7">
        <v>12</v>
      </c>
      <c r="K177" s="7">
        <v>1993</v>
      </c>
      <c r="L177" s="7">
        <v>12</v>
      </c>
      <c r="M177" s="7" t="s">
        <v>5</v>
      </c>
      <c r="N177" t="str">
        <f t="shared" si="2"/>
        <v>Co.i</v>
      </c>
    </row>
    <row r="178" spans="1:14" x14ac:dyDescent="0.25">
      <c r="A178" s="7" t="s">
        <v>147</v>
      </c>
      <c r="B178" s="8">
        <f>127+13+61+64+316+446</f>
        <v>1027</v>
      </c>
      <c r="C178" s="8">
        <v>88</v>
      </c>
      <c r="D178" s="8">
        <f>5+28+424+32+84</f>
        <v>573</v>
      </c>
      <c r="F178" s="8">
        <v>140</v>
      </c>
      <c r="G178" s="8">
        <v>129</v>
      </c>
      <c r="H178" s="8">
        <v>15</v>
      </c>
      <c r="I178" s="8">
        <v>448</v>
      </c>
      <c r="J178" s="7">
        <v>12</v>
      </c>
      <c r="K178" s="7">
        <v>1993</v>
      </c>
      <c r="L178" s="7">
        <v>12</v>
      </c>
      <c r="M178" s="7" t="s">
        <v>5</v>
      </c>
      <c r="N178" t="str">
        <f t="shared" si="2"/>
        <v>Ed.a</v>
      </c>
    </row>
    <row r="179" spans="1:14" x14ac:dyDescent="0.25">
      <c r="A179" s="7" t="s">
        <v>118</v>
      </c>
      <c r="B179" s="8">
        <f>417+109+150+5+3+89</f>
        <v>773</v>
      </c>
      <c r="C179" s="8">
        <v>0</v>
      </c>
      <c r="D179" s="8">
        <f>27+28+253+115</f>
        <v>423</v>
      </c>
      <c r="F179" s="8">
        <v>120</v>
      </c>
      <c r="G179" s="8">
        <v>156</v>
      </c>
      <c r="H179" s="8">
        <v>25</v>
      </c>
      <c r="I179" s="8">
        <v>793</v>
      </c>
      <c r="J179" s="7">
        <v>12</v>
      </c>
      <c r="K179" s="7">
        <v>1993</v>
      </c>
      <c r="L179" s="7">
        <v>12</v>
      </c>
      <c r="M179" s="7" t="s">
        <v>5</v>
      </c>
      <c r="N179" t="str">
        <f t="shared" si="2"/>
        <v>En.a</v>
      </c>
    </row>
    <row r="180" spans="1:14" x14ac:dyDescent="0.25">
      <c r="A180" s="7" t="s">
        <v>145</v>
      </c>
      <c r="B180" s="8">
        <f>7.1+3.1+1.3+4</f>
        <v>15.5</v>
      </c>
      <c r="C180" s="8">
        <v>3.1</v>
      </c>
      <c r="D180" s="8">
        <f>2.3+2.7+2.5+1.8</f>
        <v>9.3000000000000007</v>
      </c>
      <c r="F180" s="8">
        <v>0.2</v>
      </c>
      <c r="G180" s="8">
        <v>1.8</v>
      </c>
      <c r="H180" s="8">
        <v>0.4</v>
      </c>
      <c r="I180" s="8">
        <v>14</v>
      </c>
      <c r="J180" s="7">
        <v>12</v>
      </c>
      <c r="K180" s="7">
        <v>1993</v>
      </c>
      <c r="L180" s="7">
        <v>12</v>
      </c>
      <c r="M180" s="7" t="s">
        <v>5</v>
      </c>
      <c r="N180" t="str">
        <f t="shared" si="2"/>
        <v>Fi.e</v>
      </c>
    </row>
    <row r="181" spans="1:14" x14ac:dyDescent="0.25">
      <c r="A181" s="7" t="s">
        <v>143</v>
      </c>
      <c r="B181" s="8">
        <f>0.1</f>
        <v>0.1</v>
      </c>
      <c r="C181" s="8">
        <v>0</v>
      </c>
      <c r="D181" s="8">
        <v>0</v>
      </c>
      <c r="F181" s="8">
        <v>0</v>
      </c>
      <c r="G181" s="8">
        <v>0</v>
      </c>
      <c r="H181" s="8">
        <v>0</v>
      </c>
      <c r="I181" s="8">
        <v>0.1</v>
      </c>
      <c r="J181" s="7">
        <v>12</v>
      </c>
      <c r="K181" s="7">
        <v>1993</v>
      </c>
      <c r="L181" s="7">
        <v>12</v>
      </c>
      <c r="M181" s="7" t="s">
        <v>5</v>
      </c>
      <c r="N181" t="str">
        <f t="shared" si="2"/>
        <v>Fi.i</v>
      </c>
    </row>
    <row r="182" spans="1:14" x14ac:dyDescent="0.25">
      <c r="A182" s="7" t="s">
        <v>144</v>
      </c>
      <c r="B182" s="8">
        <f>5+1287+498+98</f>
        <v>1888</v>
      </c>
      <c r="C182" s="8">
        <v>0</v>
      </c>
      <c r="D182" s="8">
        <f>527+144</f>
        <v>671</v>
      </c>
      <c r="F182" s="8">
        <v>1145</v>
      </c>
      <c r="G182" s="8">
        <v>355</v>
      </c>
      <c r="H182" s="8">
        <v>-567</v>
      </c>
      <c r="I182" s="8">
        <v>0</v>
      </c>
      <c r="J182" s="7">
        <v>12</v>
      </c>
      <c r="K182" s="7">
        <v>1993</v>
      </c>
      <c r="L182" s="7">
        <v>12</v>
      </c>
      <c r="M182" s="7" t="s">
        <v>5</v>
      </c>
      <c r="N182" t="str">
        <f t="shared" si="2"/>
        <v>Ga.c</v>
      </c>
    </row>
    <row r="183" spans="1:14" x14ac:dyDescent="0.25">
      <c r="A183" s="7" t="s">
        <v>141</v>
      </c>
      <c r="B183" s="8">
        <f>0.5</f>
        <v>0.5</v>
      </c>
      <c r="C183" s="8">
        <v>0</v>
      </c>
      <c r="D183" s="8">
        <v>0.1</v>
      </c>
      <c r="F183" s="8">
        <v>0</v>
      </c>
      <c r="G183" s="8">
        <v>0.2</v>
      </c>
      <c r="H183" s="8">
        <v>0</v>
      </c>
      <c r="I183" s="8">
        <v>0.5</v>
      </c>
      <c r="J183" s="7">
        <v>12</v>
      </c>
      <c r="K183" s="7">
        <v>1993</v>
      </c>
      <c r="L183" s="7">
        <v>12</v>
      </c>
      <c r="M183" s="7" t="s">
        <v>5</v>
      </c>
      <c r="N183" t="str">
        <f t="shared" si="2"/>
        <v>Is.o</v>
      </c>
    </row>
    <row r="184" spans="1:14" x14ac:dyDescent="0.25">
      <c r="A184" s="7" t="s">
        <v>146</v>
      </c>
      <c r="B184" s="8">
        <f>2.3+0.3+0.8+0.7</f>
        <v>4.0999999999999996</v>
      </c>
      <c r="C184" s="8">
        <v>1.3</v>
      </c>
      <c r="D184" s="8">
        <f>0.2+0.2+0.8+0.6</f>
        <v>1.8000000000000003</v>
      </c>
      <c r="F184" s="8">
        <v>0.5</v>
      </c>
      <c r="G184" s="8">
        <v>0</v>
      </c>
      <c r="H184" s="8">
        <v>-0.2</v>
      </c>
      <c r="I184" s="8">
        <v>3</v>
      </c>
      <c r="J184" s="7">
        <v>12</v>
      </c>
      <c r="K184" s="7">
        <v>1993</v>
      </c>
      <c r="L184" s="7">
        <v>12</v>
      </c>
      <c r="M184" s="7" t="s">
        <v>5</v>
      </c>
      <c r="N184" t="str">
        <f t="shared" si="2"/>
        <v>Ma.i</v>
      </c>
    </row>
    <row r="185" spans="1:14" x14ac:dyDescent="0.25">
      <c r="A185" s="7" t="s">
        <v>149</v>
      </c>
      <c r="B185" s="8">
        <f>5114+25247+2059+98068+4421+17252</f>
        <v>152161</v>
      </c>
      <c r="C185" s="8">
        <v>246</v>
      </c>
      <c r="D185" s="8">
        <v>1750</v>
      </c>
      <c r="E185" s="8">
        <v>124034</v>
      </c>
      <c r="F185" s="8">
        <v>1675</v>
      </c>
      <c r="G185" s="8">
        <v>8736</v>
      </c>
      <c r="H185" s="8">
        <v>42</v>
      </c>
      <c r="I185" s="8">
        <f>10825+697</f>
        <v>11522</v>
      </c>
      <c r="J185" s="7">
        <v>12</v>
      </c>
      <c r="K185" s="7">
        <v>1994</v>
      </c>
      <c r="L185" s="7">
        <v>12</v>
      </c>
      <c r="M185" s="7" t="s">
        <v>5</v>
      </c>
      <c r="N185" t="str">
        <f t="shared" si="2"/>
        <v>Ba.a</v>
      </c>
    </row>
    <row r="186" spans="1:14" x14ac:dyDescent="0.25">
      <c r="A186" s="7" t="s">
        <v>131</v>
      </c>
      <c r="B186" s="8">
        <f>23+3779+200+3+3490</f>
        <v>7495</v>
      </c>
      <c r="C186" s="8">
        <v>2.6</v>
      </c>
      <c r="D186" s="8">
        <v>55</v>
      </c>
      <c r="E186" s="8">
        <v>8175</v>
      </c>
      <c r="F186" s="8">
        <v>52</v>
      </c>
      <c r="G186" s="8">
        <v>419</v>
      </c>
      <c r="H186" s="8">
        <v>34</v>
      </c>
      <c r="I186" s="8">
        <f>784+51+383</f>
        <v>1218</v>
      </c>
      <c r="J186" s="7">
        <v>12</v>
      </c>
      <c r="K186" s="7">
        <v>1994</v>
      </c>
      <c r="L186" s="7">
        <v>12</v>
      </c>
      <c r="M186" s="7" t="s">
        <v>5</v>
      </c>
      <c r="N186" t="str">
        <f t="shared" si="2"/>
        <v>Ba.a</v>
      </c>
    </row>
    <row r="187" spans="1:14" x14ac:dyDescent="0.25">
      <c r="A187" s="7" t="s">
        <v>154</v>
      </c>
      <c r="B187" s="8">
        <f>40+281+21+1193+31+59</f>
        <v>1625</v>
      </c>
      <c r="C187" s="8">
        <v>2.4</v>
      </c>
      <c r="D187" s="8">
        <v>11.8</v>
      </c>
      <c r="E187" s="8">
        <v>1336</v>
      </c>
      <c r="F187" s="8">
        <v>1.8</v>
      </c>
      <c r="G187" s="8">
        <v>209</v>
      </c>
      <c r="H187" s="8">
        <v>8.4</v>
      </c>
      <c r="I187" s="8">
        <f>126+13</f>
        <v>139</v>
      </c>
      <c r="J187" s="7">
        <v>12</v>
      </c>
      <c r="K187" s="7">
        <v>1994</v>
      </c>
      <c r="L187" s="7">
        <v>12</v>
      </c>
      <c r="M187" s="7" t="s">
        <v>5</v>
      </c>
      <c r="N187" t="str">
        <f t="shared" si="2"/>
        <v>Ba.a</v>
      </c>
    </row>
    <row r="188" spans="1:14" x14ac:dyDescent="0.25">
      <c r="A188" s="7" t="s">
        <v>155</v>
      </c>
      <c r="B188" s="8">
        <f>162+6850+1901+542+2491</f>
        <v>11946</v>
      </c>
      <c r="C188" s="8">
        <v>4.0999999999999996</v>
      </c>
      <c r="D188" s="8">
        <f>219+363</f>
        <v>582</v>
      </c>
      <c r="E188" s="8">
        <v>34604</v>
      </c>
      <c r="F188" s="8">
        <v>206</v>
      </c>
      <c r="G188" s="8">
        <v>2124</v>
      </c>
      <c r="H188" s="8">
        <v>-384</v>
      </c>
      <c r="I188" s="8">
        <f>3041+305</f>
        <v>3346</v>
      </c>
      <c r="J188" s="7">
        <v>12</v>
      </c>
      <c r="K188" s="7">
        <v>1994</v>
      </c>
      <c r="L188" s="7">
        <v>12</v>
      </c>
      <c r="M188" s="7" t="s">
        <v>5</v>
      </c>
      <c r="N188" t="str">
        <f t="shared" si="2"/>
        <v>Ba.o</v>
      </c>
    </row>
    <row r="189" spans="1:14" x14ac:dyDescent="0.25">
      <c r="A189" s="7" t="s">
        <v>151</v>
      </c>
      <c r="B189" s="8">
        <f>189+9264+2985+80+33431+1054+2287</f>
        <v>49290</v>
      </c>
      <c r="C189" s="8">
        <v>5.2</v>
      </c>
      <c r="D189" s="8">
        <f>84+337</f>
        <v>421</v>
      </c>
      <c r="E189" s="8">
        <v>43907</v>
      </c>
      <c r="F189" s="8">
        <v>719</v>
      </c>
      <c r="G189" s="8">
        <v>1510</v>
      </c>
      <c r="H189" s="8">
        <v>156</v>
      </c>
      <c r="I189" s="8">
        <f>4251+542</f>
        <v>4793</v>
      </c>
      <c r="J189" s="7">
        <v>12</v>
      </c>
      <c r="K189" s="7">
        <v>1994</v>
      </c>
      <c r="L189" s="7">
        <v>12</v>
      </c>
      <c r="M189" s="7" t="s">
        <v>5</v>
      </c>
      <c r="N189" t="str">
        <f t="shared" si="2"/>
        <v>Ba.o</v>
      </c>
    </row>
    <row r="190" spans="1:14" x14ac:dyDescent="0.25">
      <c r="A190" s="7" t="s">
        <v>104</v>
      </c>
      <c r="B190" s="8">
        <f>836+209+226+55+575+383</f>
        <v>2284</v>
      </c>
      <c r="C190" s="8">
        <f>490</f>
        <v>490</v>
      </c>
      <c r="D190" s="8">
        <f>369+33+91+157+405</f>
        <v>1055</v>
      </c>
      <c r="F190" s="8">
        <v>210</v>
      </c>
      <c r="G190" s="8">
        <v>335</v>
      </c>
      <c r="H190" s="8">
        <v>25</v>
      </c>
      <c r="I190" s="8">
        <v>739</v>
      </c>
      <c r="J190" s="7">
        <v>12</v>
      </c>
      <c r="K190" s="7">
        <v>1994</v>
      </c>
      <c r="L190" s="7">
        <v>12</v>
      </c>
      <c r="M190" s="7" t="s">
        <v>5</v>
      </c>
      <c r="N190" t="str">
        <f t="shared" si="2"/>
        <v>Ca.e</v>
      </c>
    </row>
    <row r="191" spans="1:14" x14ac:dyDescent="0.25">
      <c r="A191" s="7" t="s">
        <v>150</v>
      </c>
      <c r="B191" s="8">
        <f>61252+14538+11469+3784+13510+20029</f>
        <v>124582</v>
      </c>
      <c r="C191" s="8">
        <v>28880</v>
      </c>
      <c r="D191" s="8">
        <f>3953+5242+10954+16012+19563</f>
        <v>55724</v>
      </c>
      <c r="F191" s="8">
        <v>4932</v>
      </c>
      <c r="G191" s="8">
        <v>13875</v>
      </c>
      <c r="H191" s="8">
        <v>1251</v>
      </c>
      <c r="I191" s="8">
        <v>60573</v>
      </c>
      <c r="J191" s="7">
        <v>12</v>
      </c>
      <c r="K191" s="7">
        <v>1994</v>
      </c>
      <c r="L191" s="7">
        <v>12</v>
      </c>
      <c r="M191" s="7" t="s">
        <v>5</v>
      </c>
      <c r="N191" t="str">
        <f t="shared" si="2"/>
        <v>Fi.t</v>
      </c>
    </row>
    <row r="192" spans="1:14" x14ac:dyDescent="0.25">
      <c r="A192" s="7" t="s">
        <v>110</v>
      </c>
      <c r="B192" s="8">
        <f>483+146+248+2+27+14</f>
        <v>920</v>
      </c>
      <c r="C192" s="8">
        <v>387</v>
      </c>
      <c r="D192" s="8">
        <f>1+27+67+68+210</f>
        <v>373</v>
      </c>
      <c r="F192" s="8">
        <v>16</v>
      </c>
      <c r="G192" s="8">
        <v>92</v>
      </c>
      <c r="H192" s="8">
        <v>7.8</v>
      </c>
      <c r="I192" s="8">
        <v>725</v>
      </c>
      <c r="J192" s="7">
        <v>12</v>
      </c>
      <c r="K192" s="7">
        <v>1994</v>
      </c>
      <c r="L192" s="7">
        <v>12</v>
      </c>
      <c r="M192" s="7" t="s">
        <v>5</v>
      </c>
      <c r="N192" t="str">
        <f t="shared" si="2"/>
        <v>La.a</v>
      </c>
    </row>
    <row r="193" spans="1:14" x14ac:dyDescent="0.25">
      <c r="A193" s="7" t="s">
        <v>152</v>
      </c>
      <c r="B193" s="8">
        <f>65+19+42+2+47+26</f>
        <v>201</v>
      </c>
      <c r="C193" s="8">
        <v>37</v>
      </c>
      <c r="D193" s="8">
        <f>5+7+5+11+25</f>
        <v>53</v>
      </c>
      <c r="F193" s="8">
        <v>30</v>
      </c>
      <c r="G193" s="8">
        <v>66</v>
      </c>
      <c r="H193" s="8">
        <v>8.3000000000000007</v>
      </c>
      <c r="I193" s="8">
        <v>105</v>
      </c>
      <c r="J193" s="7">
        <v>12</v>
      </c>
      <c r="K193" s="7">
        <v>1994</v>
      </c>
      <c r="L193" s="7">
        <v>12</v>
      </c>
      <c r="M193" s="7" t="s">
        <v>5</v>
      </c>
      <c r="N193" t="str">
        <f t="shared" si="2"/>
        <v>Ma.i</v>
      </c>
    </row>
    <row r="194" spans="1:14" x14ac:dyDescent="0.25">
      <c r="A194" s="7" t="s">
        <v>153</v>
      </c>
      <c r="B194" s="8">
        <f>362+629+2676+134+29+1162</f>
        <v>4992</v>
      </c>
      <c r="C194" s="8">
        <v>330</v>
      </c>
      <c r="D194" s="8">
        <v>99</v>
      </c>
      <c r="E194" s="8">
        <v>3164</v>
      </c>
      <c r="F194" s="8">
        <v>175</v>
      </c>
      <c r="G194" s="8">
        <v>869</v>
      </c>
      <c r="H194" s="8">
        <v>-436</v>
      </c>
      <c r="I194" s="8">
        <f>1679+265+294</f>
        <v>2238</v>
      </c>
      <c r="J194" s="7">
        <v>12</v>
      </c>
      <c r="K194" s="7">
        <v>1994</v>
      </c>
      <c r="L194" s="7">
        <v>12</v>
      </c>
      <c r="M194" s="7" t="s">
        <v>5</v>
      </c>
      <c r="N194" t="str">
        <f t="shared" si="2"/>
        <v>Mi.i</v>
      </c>
    </row>
    <row r="195" spans="1:14" x14ac:dyDescent="0.25">
      <c r="A195" s="7" t="s">
        <v>101</v>
      </c>
      <c r="B195" s="8">
        <f>189+242+25+1+3+52</f>
        <v>512</v>
      </c>
      <c r="C195" s="8">
        <v>4.8</v>
      </c>
      <c r="D195" s="8">
        <f>304+85</f>
        <v>389</v>
      </c>
      <c r="F195" s="8">
        <v>50</v>
      </c>
      <c r="G195" s="8">
        <v>50</v>
      </c>
      <c r="H195" s="8">
        <v>7.3</v>
      </c>
      <c r="I195" s="8">
        <f>37+1+5</f>
        <v>43</v>
      </c>
      <c r="J195" s="7">
        <v>9</v>
      </c>
      <c r="K195" s="7">
        <v>1994</v>
      </c>
      <c r="L195" s="7">
        <v>12</v>
      </c>
      <c r="M195" s="7" t="s">
        <v>5</v>
      </c>
      <c r="N195" t="str">
        <f t="shared" ref="N195:N258" si="3">CONCATENATE(LEFT(A195,2),".",RIGHT(A195,1))</f>
        <v>Mi.l</v>
      </c>
    </row>
    <row r="196" spans="1:14" x14ac:dyDescent="0.25">
      <c r="A196" s="7" t="s">
        <v>156</v>
      </c>
      <c r="B196" s="8">
        <f>291+1</f>
        <v>292</v>
      </c>
      <c r="C196" s="8">
        <v>59</v>
      </c>
      <c r="D196" s="8">
        <f>12+4+5</f>
        <v>21</v>
      </c>
      <c r="F196" s="8">
        <v>70</v>
      </c>
      <c r="G196" s="8">
        <v>119</v>
      </c>
      <c r="H196" s="8">
        <v>14</v>
      </c>
      <c r="I196" s="8">
        <v>23</v>
      </c>
      <c r="J196" s="7">
        <v>12</v>
      </c>
      <c r="K196" s="7">
        <v>1995</v>
      </c>
      <c r="L196" s="7">
        <v>12</v>
      </c>
      <c r="M196" s="7" t="s">
        <v>5</v>
      </c>
      <c r="N196" t="str">
        <f t="shared" si="3"/>
        <v>At.i</v>
      </c>
    </row>
    <row r="197" spans="1:14" x14ac:dyDescent="0.25">
      <c r="A197" s="7" t="s">
        <v>90</v>
      </c>
      <c r="B197" s="8">
        <f>109+720+937+37+136</f>
        <v>1939</v>
      </c>
      <c r="C197" s="8">
        <v>0</v>
      </c>
      <c r="D197" s="8">
        <f>22</f>
        <v>22</v>
      </c>
      <c r="E197" s="8">
        <v>1614</v>
      </c>
      <c r="F197" s="8">
        <v>29</v>
      </c>
      <c r="G197" s="8">
        <v>53</v>
      </c>
      <c r="H197" s="8">
        <v>10</v>
      </c>
      <c r="I197" s="8">
        <f>184+5+13</f>
        <v>202</v>
      </c>
      <c r="J197" s="7">
        <v>12</v>
      </c>
      <c r="K197" s="7">
        <v>1995</v>
      </c>
      <c r="L197" s="7">
        <v>12</v>
      </c>
      <c r="M197" s="7" t="s">
        <v>5</v>
      </c>
      <c r="N197" t="str">
        <f t="shared" si="3"/>
        <v>Ba.e</v>
      </c>
    </row>
    <row r="198" spans="1:14" x14ac:dyDescent="0.25">
      <c r="A198" s="7" t="s">
        <v>155</v>
      </c>
      <c r="B198" s="8">
        <f>1865+7130+403+26560+694+1850</f>
        <v>38502</v>
      </c>
      <c r="C198" s="8">
        <v>22</v>
      </c>
      <c r="D198" s="8">
        <f>179+390</f>
        <v>569</v>
      </c>
      <c r="E198" s="8">
        <v>33091</v>
      </c>
      <c r="F198" s="8">
        <v>210</v>
      </c>
      <c r="G198" s="8">
        <v>1710</v>
      </c>
      <c r="H198" s="8">
        <v>148</v>
      </c>
      <c r="I198" s="8">
        <f>3412+326+93</f>
        <v>3831</v>
      </c>
      <c r="J198" s="7">
        <v>12</v>
      </c>
      <c r="K198" s="7">
        <v>1995</v>
      </c>
      <c r="L198" s="7">
        <v>12</v>
      </c>
      <c r="M198" s="7" t="s">
        <v>5</v>
      </c>
      <c r="N198" t="str">
        <f t="shared" si="3"/>
        <v>Ba.o</v>
      </c>
    </row>
    <row r="199" spans="1:14" x14ac:dyDescent="0.25">
      <c r="A199" s="7" t="s">
        <v>157</v>
      </c>
      <c r="B199" s="8">
        <f>629+182+287+19+6+130</f>
        <v>1253</v>
      </c>
      <c r="C199" s="8">
        <v>207</v>
      </c>
      <c r="D199" s="8">
        <f>11+64+31+142+213</f>
        <v>461</v>
      </c>
      <c r="F199" s="8">
        <v>178</v>
      </c>
      <c r="G199" s="8">
        <v>172</v>
      </c>
      <c r="H199" s="8">
        <v>51</v>
      </c>
      <c r="I199" s="8">
        <v>922</v>
      </c>
      <c r="J199" s="7">
        <v>12</v>
      </c>
      <c r="K199" s="7">
        <v>1995</v>
      </c>
      <c r="L199" s="7">
        <v>12</v>
      </c>
      <c r="M199" s="7" t="s">
        <v>5</v>
      </c>
      <c r="N199" t="str">
        <f t="shared" si="3"/>
        <v>Ca.o</v>
      </c>
    </row>
    <row r="200" spans="1:14" x14ac:dyDescent="0.25">
      <c r="A200" s="7" t="s">
        <v>103</v>
      </c>
      <c r="B200" s="8">
        <f>274+13+13+53+15+11+3</f>
        <v>382</v>
      </c>
      <c r="C200" s="8">
        <v>122</v>
      </c>
      <c r="D200" s="8">
        <f>3+58+4+12+23</f>
        <v>100</v>
      </c>
      <c r="F200" s="8">
        <v>45</v>
      </c>
      <c r="G200" s="8">
        <v>112</v>
      </c>
      <c r="H200" s="8">
        <v>-1.3</v>
      </c>
      <c r="I200" s="8">
        <v>71</v>
      </c>
      <c r="J200" s="7">
        <v>12</v>
      </c>
      <c r="K200" s="7">
        <v>1995</v>
      </c>
      <c r="L200" s="7">
        <v>12</v>
      </c>
      <c r="M200" s="7" t="s">
        <v>5</v>
      </c>
      <c r="N200" t="str">
        <f t="shared" si="3"/>
        <v>Ce.a</v>
      </c>
    </row>
    <row r="201" spans="1:14" x14ac:dyDescent="0.25">
      <c r="A201" s="7" t="s">
        <v>158</v>
      </c>
      <c r="B201" s="8">
        <f>69+19+33+12</f>
        <v>133</v>
      </c>
      <c r="C201" s="8">
        <v>39</v>
      </c>
      <c r="D201" s="8">
        <f>6+10+23+21</f>
        <v>60</v>
      </c>
      <c r="F201" s="8">
        <v>25</v>
      </c>
      <c r="G201" s="8">
        <v>-5.2</v>
      </c>
      <c r="H201" s="8">
        <v>1.5</v>
      </c>
      <c r="I201" s="8">
        <v>100</v>
      </c>
      <c r="J201" s="7">
        <v>12</v>
      </c>
      <c r="K201" s="7">
        <v>1995</v>
      </c>
      <c r="L201" s="7">
        <v>12</v>
      </c>
      <c r="M201" s="7" t="s">
        <v>5</v>
      </c>
      <c r="N201" t="str">
        <f t="shared" si="3"/>
        <v>Ce.i</v>
      </c>
    </row>
    <row r="202" spans="1:14" x14ac:dyDescent="0.25">
      <c r="A202" s="7" t="s">
        <v>82</v>
      </c>
      <c r="B202" s="8">
        <f>98+121+93+2+16+69</f>
        <v>399</v>
      </c>
      <c r="C202" s="8">
        <v>47</v>
      </c>
      <c r="D202" s="8">
        <f>25+14+108+109</f>
        <v>256</v>
      </c>
      <c r="F202" s="8">
        <v>9.5</v>
      </c>
      <c r="G202" s="8">
        <v>67</v>
      </c>
      <c r="H202" s="8">
        <v>-11</v>
      </c>
      <c r="I202" s="8">
        <v>144</v>
      </c>
      <c r="J202" s="7">
        <v>12</v>
      </c>
      <c r="K202" s="7">
        <v>1995</v>
      </c>
      <c r="L202" s="7">
        <v>12</v>
      </c>
      <c r="M202" s="7" t="s">
        <v>5</v>
      </c>
      <c r="N202" t="str">
        <f t="shared" si="3"/>
        <v>Fi.r</v>
      </c>
    </row>
    <row r="203" spans="1:14" x14ac:dyDescent="0.25">
      <c r="A203" s="7" t="s">
        <v>161</v>
      </c>
      <c r="B203" s="8">
        <f>5141+35545+1343+181774+3437+25457</f>
        <v>252697</v>
      </c>
      <c r="C203" s="8">
        <v>0</v>
      </c>
      <c r="D203" s="8">
        <f>89+996</f>
        <v>1085</v>
      </c>
      <c r="E203" s="8">
        <v>212183</v>
      </c>
      <c r="F203" s="8">
        <v>8160</v>
      </c>
      <c r="G203" s="8">
        <v>1077</v>
      </c>
      <c r="H203" s="8">
        <v>445</v>
      </c>
      <c r="I203" s="8">
        <f>21252+1112</f>
        <v>22364</v>
      </c>
      <c r="J203" s="7">
        <v>12</v>
      </c>
      <c r="K203" s="7">
        <v>1995</v>
      </c>
      <c r="L203" s="7">
        <v>12</v>
      </c>
      <c r="M203" s="7" t="s">
        <v>5</v>
      </c>
      <c r="N203" t="str">
        <f t="shared" si="3"/>
        <v>Is.o</v>
      </c>
    </row>
    <row r="204" spans="1:14" x14ac:dyDescent="0.25">
      <c r="A204" s="7" t="s">
        <v>159</v>
      </c>
      <c r="B204" s="8">
        <f>312+67+150+7+28+36</f>
        <v>600</v>
      </c>
      <c r="C204" s="8">
        <v>155</v>
      </c>
      <c r="D204" s="8">
        <f>1+22+54+84+92</f>
        <v>253</v>
      </c>
      <c r="F204" s="8">
        <v>20</v>
      </c>
      <c r="G204" s="8">
        <v>119</v>
      </c>
      <c r="H204" s="8">
        <v>17.3</v>
      </c>
      <c r="I204" s="8">
        <v>411</v>
      </c>
      <c r="J204" s="7">
        <v>12</v>
      </c>
      <c r="K204" s="7">
        <v>1995</v>
      </c>
      <c r="L204" s="7">
        <v>12</v>
      </c>
      <c r="M204" s="7" t="s">
        <v>5</v>
      </c>
      <c r="N204" t="str">
        <f t="shared" si="3"/>
        <v>Ma.i</v>
      </c>
    </row>
    <row r="205" spans="1:14" x14ac:dyDescent="0.25">
      <c r="A205" s="7" t="s">
        <v>48</v>
      </c>
      <c r="B205" s="8">
        <f>242+148+11+2+9</f>
        <v>412</v>
      </c>
      <c r="C205" s="8">
        <v>12.1</v>
      </c>
      <c r="D205" s="8">
        <f>6+58+94</f>
        <v>158</v>
      </c>
      <c r="F205" s="8">
        <v>31</v>
      </c>
      <c r="G205" s="8">
        <v>179</v>
      </c>
      <c r="H205" s="8">
        <v>2.6</v>
      </c>
      <c r="I205" s="8">
        <v>34</v>
      </c>
      <c r="J205" s="7">
        <v>12</v>
      </c>
      <c r="K205" s="7">
        <v>1995</v>
      </c>
      <c r="L205" s="7">
        <v>12</v>
      </c>
      <c r="M205" s="7" t="s">
        <v>5</v>
      </c>
      <c r="N205" t="str">
        <f t="shared" si="3"/>
        <v>Ri.i</v>
      </c>
    </row>
    <row r="206" spans="1:14" x14ac:dyDescent="0.25">
      <c r="A206" s="7" t="s">
        <v>66</v>
      </c>
      <c r="B206" s="8">
        <f>332+287+619+88+22+95</f>
        <v>1443</v>
      </c>
      <c r="C206" s="8">
        <v>15</v>
      </c>
      <c r="D206" s="8">
        <f>1+4+330</f>
        <v>335</v>
      </c>
      <c r="F206" s="8">
        <v>157</v>
      </c>
      <c r="G206" s="8">
        <v>251</v>
      </c>
      <c r="H206" s="8">
        <v>34</v>
      </c>
      <c r="I206" s="8">
        <f>22+58</f>
        <v>80</v>
      </c>
      <c r="J206" s="7">
        <v>12</v>
      </c>
      <c r="K206" s="7">
        <v>1995</v>
      </c>
      <c r="L206" s="7">
        <v>12</v>
      </c>
      <c r="M206" s="7" t="s">
        <v>5</v>
      </c>
      <c r="N206" t="str">
        <f t="shared" si="3"/>
        <v>SO..</v>
      </c>
    </row>
    <row r="207" spans="1:14" x14ac:dyDescent="0.25">
      <c r="A207" s="10" t="s">
        <v>160</v>
      </c>
      <c r="B207" s="11">
        <f>546+158+223+9+295+64</f>
        <v>1295</v>
      </c>
      <c r="C207" s="11">
        <v>273</v>
      </c>
      <c r="D207" s="12">
        <f>86+31+240+99+159</f>
        <v>615</v>
      </c>
      <c r="E207" s="12"/>
      <c r="F207" s="11">
        <v>106</v>
      </c>
      <c r="G207" s="11">
        <v>176</v>
      </c>
      <c r="H207" s="11">
        <v>52</v>
      </c>
      <c r="I207" s="12">
        <v>913</v>
      </c>
      <c r="J207" s="9">
        <v>12</v>
      </c>
      <c r="K207" s="9">
        <v>1995</v>
      </c>
      <c r="L207" s="9">
        <v>12</v>
      </c>
      <c r="M207" s="7" t="s">
        <v>5</v>
      </c>
      <c r="N207" t="str">
        <f t="shared" si="3"/>
        <v>So.i</v>
      </c>
    </row>
    <row r="208" spans="1:14" x14ac:dyDescent="0.25">
      <c r="A208" s="7" t="s">
        <v>56</v>
      </c>
      <c r="B208" s="8">
        <f>66+44+604+47+8+224</f>
        <v>993</v>
      </c>
      <c r="C208" s="8">
        <v>23</v>
      </c>
      <c r="D208" s="8">
        <v>6.4</v>
      </c>
      <c r="E208" s="8">
        <v>761</v>
      </c>
      <c r="F208" s="8">
        <v>30</v>
      </c>
      <c r="G208" s="8">
        <v>105</v>
      </c>
      <c r="H208" s="8">
        <v>8.1999999999999993</v>
      </c>
      <c r="I208" s="8">
        <f>383+75+70</f>
        <v>528</v>
      </c>
      <c r="J208" s="7">
        <v>12</v>
      </c>
      <c r="K208" s="7">
        <v>1995</v>
      </c>
      <c r="L208" s="9">
        <v>12</v>
      </c>
      <c r="M208" s="7" t="s">
        <v>5</v>
      </c>
      <c r="N208" t="str">
        <f t="shared" si="3"/>
        <v>Vi.i</v>
      </c>
    </row>
    <row r="209" spans="1:14" x14ac:dyDescent="0.25">
      <c r="A209" s="7" t="s">
        <v>163</v>
      </c>
      <c r="B209" s="8">
        <f>149+503+369+3900+77+500</f>
        <v>5498</v>
      </c>
      <c r="C209" s="8">
        <v>0</v>
      </c>
      <c r="D209" s="8">
        <f>21+37</f>
        <v>58</v>
      </c>
      <c r="E209" s="8">
        <v>4062</v>
      </c>
      <c r="F209" s="8">
        <v>455</v>
      </c>
      <c r="G209" s="8">
        <v>441</v>
      </c>
      <c r="H209" s="8">
        <v>169</v>
      </c>
      <c r="I209" s="8">
        <f>302+283</f>
        <v>585</v>
      </c>
      <c r="J209" s="7">
        <v>12</v>
      </c>
      <c r="K209" s="7">
        <v>1996</v>
      </c>
      <c r="L209" s="7">
        <v>12</v>
      </c>
      <c r="M209" s="7" t="s">
        <v>5</v>
      </c>
      <c r="N209" t="str">
        <f t="shared" si="3"/>
        <v>Ba.m</v>
      </c>
    </row>
    <row r="210" spans="1:14" x14ac:dyDescent="0.25">
      <c r="A210" s="7" t="s">
        <v>164</v>
      </c>
      <c r="B210" s="8">
        <f>417+1866+39+5368+144+275</f>
        <v>8109</v>
      </c>
      <c r="C210" s="8">
        <v>10.199999999999999</v>
      </c>
      <c r="D210" s="8">
        <f>107</f>
        <v>107</v>
      </c>
      <c r="E210" s="8">
        <v>6972</v>
      </c>
      <c r="F210" s="8">
        <v>138</v>
      </c>
      <c r="G210" s="8">
        <v>523</v>
      </c>
      <c r="H210" s="8">
        <v>41</v>
      </c>
      <c r="I210" s="8">
        <f>693+52+22</f>
        <v>767</v>
      </c>
      <c r="J210" s="7">
        <v>12</v>
      </c>
      <c r="K210" s="7">
        <v>1996</v>
      </c>
      <c r="L210" s="7">
        <v>12</v>
      </c>
      <c r="M210" s="7" t="s">
        <v>5</v>
      </c>
      <c r="N210" t="str">
        <f t="shared" si="3"/>
        <v>Ba.o</v>
      </c>
    </row>
    <row r="211" spans="1:14" x14ac:dyDescent="0.25">
      <c r="A211" s="7" t="s">
        <v>162</v>
      </c>
      <c r="B211" s="8">
        <f>151+913+19+1969+305+172</f>
        <v>3529</v>
      </c>
      <c r="C211" s="8">
        <v>15.6</v>
      </c>
      <c r="D211" s="8">
        <v>34</v>
      </c>
      <c r="E211" s="8">
        <v>2918</v>
      </c>
      <c r="F211" s="8">
        <v>117</v>
      </c>
      <c r="G211" s="8">
        <v>191</v>
      </c>
      <c r="H211" s="8">
        <v>16.5</v>
      </c>
      <c r="I211" s="8">
        <f>341+27+119</f>
        <v>487</v>
      </c>
      <c r="J211" s="7">
        <v>12</v>
      </c>
      <c r="K211" s="7">
        <v>1996</v>
      </c>
      <c r="L211" s="7">
        <v>12</v>
      </c>
      <c r="M211" s="7" t="s">
        <v>5</v>
      </c>
      <c r="N211" t="str">
        <f t="shared" si="3"/>
        <v>Ba.a</v>
      </c>
    </row>
    <row r="212" spans="1:14" x14ac:dyDescent="0.25">
      <c r="A212" s="7" t="s">
        <v>165</v>
      </c>
      <c r="B212" s="8">
        <f>398+2016+19+5035+724+439</f>
        <v>8631</v>
      </c>
      <c r="C212" s="8">
        <v>3</v>
      </c>
      <c r="D212" s="8">
        <f>104+135</f>
        <v>239</v>
      </c>
      <c r="E212" s="8">
        <v>7399</v>
      </c>
      <c r="F212" s="8">
        <v>158</v>
      </c>
      <c r="G212" s="8">
        <v>333</v>
      </c>
      <c r="H212" s="8">
        <v>24</v>
      </c>
      <c r="I212" s="8">
        <f>727+75+294</f>
        <v>1096</v>
      </c>
      <c r="J212" s="7">
        <v>12</v>
      </c>
      <c r="K212" s="7">
        <v>1996</v>
      </c>
      <c r="L212" s="7">
        <v>12</v>
      </c>
      <c r="M212" s="7" t="s">
        <v>5</v>
      </c>
      <c r="N212" t="str">
        <f t="shared" si="3"/>
        <v>Cr.e</v>
      </c>
    </row>
    <row r="213" spans="1:14" x14ac:dyDescent="0.25">
      <c r="A213" s="7" t="s">
        <v>82</v>
      </c>
      <c r="B213" s="8">
        <f>99+162+60+2+4+96</f>
        <v>423</v>
      </c>
      <c r="C213" s="8">
        <v>48</v>
      </c>
      <c r="D213" s="8">
        <f>27+8+118+126</f>
        <v>279</v>
      </c>
      <c r="F213" s="8">
        <v>9.5</v>
      </c>
      <c r="G213" s="8">
        <v>55</v>
      </c>
      <c r="H213" s="8">
        <v>-18.600000000000001</v>
      </c>
      <c r="I213" s="8">
        <v>129</v>
      </c>
      <c r="J213" s="7">
        <v>12</v>
      </c>
      <c r="K213" s="7">
        <v>1996</v>
      </c>
      <c r="L213" s="7">
        <v>12</v>
      </c>
      <c r="M213" s="7" t="s">
        <v>5</v>
      </c>
      <c r="N213" t="str">
        <f t="shared" si="3"/>
        <v>Fi.r</v>
      </c>
    </row>
    <row r="214" spans="1:14" x14ac:dyDescent="0.25">
      <c r="A214" s="7" t="s">
        <v>50</v>
      </c>
      <c r="B214" s="8">
        <f>318+23+109+308+423+344</f>
        <v>1525</v>
      </c>
      <c r="C214" s="8">
        <v>116</v>
      </c>
      <c r="D214" s="8">
        <f>26+15+189+129+84</f>
        <v>443</v>
      </c>
      <c r="F214" s="8">
        <v>25</v>
      </c>
      <c r="G214" s="8">
        <v>755</v>
      </c>
      <c r="H214" s="8">
        <v>8.4</v>
      </c>
      <c r="I214" s="8">
        <v>288</v>
      </c>
      <c r="J214" s="7">
        <v>12</v>
      </c>
      <c r="K214" s="7">
        <v>1996</v>
      </c>
      <c r="L214" s="7">
        <v>12</v>
      </c>
      <c r="M214" s="7" t="s">
        <v>5</v>
      </c>
      <c r="N214" t="str">
        <f t="shared" si="3"/>
        <v>Fr.i</v>
      </c>
    </row>
    <row r="215" spans="1:14" x14ac:dyDescent="0.25">
      <c r="A215" s="7" t="s">
        <v>120</v>
      </c>
      <c r="B215" s="8">
        <f>362+75+86+5+88+25</f>
        <v>641</v>
      </c>
      <c r="C215" s="8">
        <v>194</v>
      </c>
      <c r="D215" s="8">
        <f>15+23+4+52+66</f>
        <v>160</v>
      </c>
      <c r="F215" s="8">
        <v>24</v>
      </c>
      <c r="G215" s="8">
        <v>133</v>
      </c>
      <c r="H215" s="8">
        <v>60</v>
      </c>
      <c r="I215" s="8">
        <v>323</v>
      </c>
      <c r="J215" s="7">
        <v>12</v>
      </c>
      <c r="K215" s="7">
        <v>1996</v>
      </c>
      <c r="L215" s="7">
        <v>12</v>
      </c>
      <c r="M215" s="7" t="s">
        <v>5</v>
      </c>
      <c r="N215" t="str">
        <f t="shared" si="3"/>
        <v>In.a</v>
      </c>
    </row>
    <row r="216" spans="1:14" x14ac:dyDescent="0.25">
      <c r="A216" s="7" t="s">
        <v>166</v>
      </c>
      <c r="B216" s="8">
        <f>607+12+160+61+22+116</f>
        <v>978</v>
      </c>
      <c r="C216" s="8">
        <v>220</v>
      </c>
      <c r="D216" s="8">
        <f>67+78+81+180+67</f>
        <v>473</v>
      </c>
      <c r="F216" s="8">
        <v>150</v>
      </c>
      <c r="G216" s="8">
        <v>28</v>
      </c>
      <c r="H216" s="8">
        <v>-20</v>
      </c>
      <c r="I216" s="8">
        <v>570</v>
      </c>
      <c r="J216" s="7">
        <v>12</v>
      </c>
      <c r="K216" s="7">
        <v>1996</v>
      </c>
      <c r="L216" s="7">
        <v>12</v>
      </c>
      <c r="M216" s="7" t="s">
        <v>5</v>
      </c>
      <c r="N216" t="str">
        <f t="shared" si="3"/>
        <v>Mo.f</v>
      </c>
    </row>
    <row r="217" spans="1:14" x14ac:dyDescent="0.25">
      <c r="A217" s="7" t="s">
        <v>168</v>
      </c>
      <c r="B217" s="8">
        <f>769+145+201+19+22+101</f>
        <v>1257</v>
      </c>
      <c r="C217" s="8">
        <v>242</v>
      </c>
      <c r="D217" s="8">
        <f>32+62+82+451+143</f>
        <v>770</v>
      </c>
      <c r="F217" s="8">
        <v>280</v>
      </c>
      <c r="G217" s="8">
        <v>-117</v>
      </c>
      <c r="H217" s="8">
        <v>-10.1</v>
      </c>
      <c r="I217" s="8">
        <v>1014</v>
      </c>
      <c r="J217" s="7">
        <v>12</v>
      </c>
      <c r="K217" s="7">
        <v>1996</v>
      </c>
      <c r="L217" s="7">
        <v>12</v>
      </c>
      <c r="M217" s="7" t="s">
        <v>5</v>
      </c>
      <c r="N217" t="str">
        <f t="shared" si="3"/>
        <v>SN.e</v>
      </c>
    </row>
    <row r="218" spans="1:14" x14ac:dyDescent="0.25">
      <c r="A218" s="7" t="s">
        <v>167</v>
      </c>
      <c r="B218" s="8">
        <f>379+245+349+1+17+493</f>
        <v>1484</v>
      </c>
      <c r="C218" s="8">
        <v>198</v>
      </c>
      <c r="D218" s="8">
        <f>25+57+37+368+118</f>
        <v>605</v>
      </c>
      <c r="F218" s="8">
        <v>153</v>
      </c>
      <c r="G218" s="8">
        <v>326</v>
      </c>
      <c r="H218" s="8">
        <v>71</v>
      </c>
      <c r="I218" s="8">
        <v>855</v>
      </c>
      <c r="J218" s="7">
        <v>12</v>
      </c>
      <c r="K218" s="7">
        <v>1996</v>
      </c>
      <c r="L218" s="7">
        <v>12</v>
      </c>
      <c r="M218" s="7" t="s">
        <v>5</v>
      </c>
      <c r="N218" t="str">
        <f t="shared" si="3"/>
        <v>SO.a</v>
      </c>
    </row>
    <row r="219" spans="1:14" x14ac:dyDescent="0.25">
      <c r="A219" s="7" t="s">
        <v>169</v>
      </c>
      <c r="B219" s="8">
        <f>28+58+59+3+12+259</f>
        <v>419</v>
      </c>
      <c r="C219" s="8">
        <v>0</v>
      </c>
      <c r="D219" s="8">
        <f>53+6+36+59+60</f>
        <v>214</v>
      </c>
      <c r="F219" s="8">
        <v>11.3</v>
      </c>
      <c r="G219" s="8">
        <v>92</v>
      </c>
      <c r="H219" s="8">
        <v>26</v>
      </c>
      <c r="I219" s="8">
        <v>300</v>
      </c>
      <c r="J219" s="7">
        <v>12</v>
      </c>
      <c r="K219" s="7">
        <v>2007</v>
      </c>
      <c r="L219" s="7">
        <v>12</v>
      </c>
      <c r="M219" s="7" t="s">
        <v>170</v>
      </c>
      <c r="N219" t="str">
        <f t="shared" si="3"/>
        <v>An.i</v>
      </c>
    </row>
    <row r="220" spans="1:14" x14ac:dyDescent="0.25">
      <c r="A220" s="7" t="s">
        <v>41</v>
      </c>
      <c r="B220" s="8">
        <f>173+26+25+20+61+52</f>
        <v>357</v>
      </c>
      <c r="C220" s="8">
        <v>0</v>
      </c>
      <c r="D220" s="8">
        <f>1+2+81+46+20</f>
        <v>150</v>
      </c>
      <c r="F220" s="8">
        <v>83</v>
      </c>
      <c r="G220" s="8">
        <v>65</v>
      </c>
      <c r="H220" s="8">
        <v>14.3</v>
      </c>
      <c r="I220" s="8">
        <v>78</v>
      </c>
      <c r="J220" s="7">
        <v>7</v>
      </c>
      <c r="K220" s="7">
        <v>2007</v>
      </c>
      <c r="L220" s="7">
        <v>12</v>
      </c>
      <c r="M220" s="7" t="s">
        <v>170</v>
      </c>
      <c r="N220" t="str">
        <f t="shared" si="3"/>
        <v>Bo.a</v>
      </c>
    </row>
    <row r="221" spans="1:14" x14ac:dyDescent="0.25">
      <c r="A221" s="7" t="s">
        <v>173</v>
      </c>
      <c r="B221" s="8">
        <f>67+11+4+17</f>
        <v>99</v>
      </c>
      <c r="C221" s="8">
        <v>0</v>
      </c>
      <c r="D221" s="8">
        <f>2+31</f>
        <v>33</v>
      </c>
      <c r="F221" s="8">
        <v>51</v>
      </c>
      <c r="G221" s="8">
        <v>0.1</v>
      </c>
      <c r="H221" s="8">
        <v>1.4</v>
      </c>
      <c r="I221" s="8">
        <f>0.9+11.7</f>
        <v>12.6</v>
      </c>
      <c r="J221" s="7">
        <v>12</v>
      </c>
      <c r="K221" s="7">
        <v>2007</v>
      </c>
      <c r="L221" s="7">
        <v>12</v>
      </c>
      <c r="M221" s="7" t="s">
        <v>170</v>
      </c>
      <c r="N221" t="str">
        <f t="shared" si="3"/>
        <v>Ca.e</v>
      </c>
    </row>
    <row r="222" spans="1:14" x14ac:dyDescent="0.25">
      <c r="A222" s="7" t="s">
        <v>172</v>
      </c>
      <c r="B222" s="8">
        <f>14+68+107+10+33</f>
        <v>232</v>
      </c>
      <c r="C222" s="8">
        <v>0</v>
      </c>
      <c r="D222" s="8">
        <f>6+16+30+126</f>
        <v>178</v>
      </c>
      <c r="F222" s="8">
        <v>6.1</v>
      </c>
      <c r="G222" s="8">
        <v>37</v>
      </c>
      <c r="H222" s="8">
        <v>0.2</v>
      </c>
      <c r="I222" s="8">
        <v>470</v>
      </c>
      <c r="J222" s="7">
        <v>12</v>
      </c>
      <c r="K222" s="7">
        <v>2007</v>
      </c>
      <c r="L222" s="7">
        <v>12</v>
      </c>
      <c r="M222" s="7" t="s">
        <v>170</v>
      </c>
      <c r="N222" t="str">
        <f t="shared" si="3"/>
        <v>CD.t</v>
      </c>
    </row>
    <row r="223" spans="1:14" x14ac:dyDescent="0.25">
      <c r="A223" s="7" t="s">
        <v>174</v>
      </c>
      <c r="B223" s="8">
        <f>431+9+30+25+5</f>
        <v>500</v>
      </c>
      <c r="C223" s="8">
        <v>0</v>
      </c>
      <c r="D223" s="8">
        <f>178+4+36</f>
        <v>218</v>
      </c>
      <c r="F223" s="8">
        <v>150</v>
      </c>
      <c r="G223" s="8">
        <v>58</v>
      </c>
      <c r="H223" s="8">
        <v>75</v>
      </c>
      <c r="I223" s="8">
        <v>310</v>
      </c>
      <c r="J223" s="7">
        <v>12</v>
      </c>
      <c r="K223" s="7">
        <v>2007</v>
      </c>
      <c r="L223" s="7">
        <v>12</v>
      </c>
      <c r="M223" s="7" t="s">
        <v>175</v>
      </c>
      <c r="N223" t="str">
        <f t="shared" si="3"/>
        <v>D'.g</v>
      </c>
    </row>
    <row r="224" spans="1:14" x14ac:dyDescent="0.25">
      <c r="A224" s="7" t="s">
        <v>176</v>
      </c>
      <c r="B224" s="8">
        <f>20+46+42+93+23</f>
        <v>224</v>
      </c>
      <c r="C224" s="8">
        <v>0</v>
      </c>
      <c r="D224" s="8">
        <f>69+2+3+3+29</f>
        <v>106</v>
      </c>
      <c r="F224" s="8">
        <v>2.5</v>
      </c>
      <c r="G224" s="8">
        <v>73</v>
      </c>
      <c r="H224" s="8">
        <v>25</v>
      </c>
      <c r="I224" s="8">
        <v>193</v>
      </c>
      <c r="J224" s="7">
        <v>12</v>
      </c>
      <c r="K224" s="7">
        <v>2007</v>
      </c>
      <c r="L224" s="7">
        <v>12</v>
      </c>
      <c r="M224" s="7" t="s">
        <v>170</v>
      </c>
      <c r="N224" t="str">
        <f t="shared" si="3"/>
        <v xml:space="preserve">El. </v>
      </c>
    </row>
    <row r="225" spans="1:14" x14ac:dyDescent="0.25">
      <c r="A225" s="7" t="s">
        <v>177</v>
      </c>
      <c r="B225" s="8">
        <f>23+22+25+4+9</f>
        <v>83</v>
      </c>
      <c r="C225" s="8">
        <v>0</v>
      </c>
      <c r="D225" s="8">
        <f>4+29+19+18</f>
        <v>70</v>
      </c>
      <c r="F225" s="8">
        <v>31</v>
      </c>
      <c r="G225" s="8">
        <v>-16.7</v>
      </c>
      <c r="H225" s="8">
        <v>-11.7</v>
      </c>
      <c r="I225" s="8">
        <v>88</v>
      </c>
      <c r="J225" s="7">
        <v>12</v>
      </c>
      <c r="K225" s="7">
        <v>2007</v>
      </c>
      <c r="L225" s="7">
        <v>12</v>
      </c>
      <c r="M225" s="7" t="s">
        <v>170</v>
      </c>
      <c r="N225" t="str">
        <f t="shared" si="3"/>
        <v>Ev.p</v>
      </c>
    </row>
    <row r="226" spans="1:14" x14ac:dyDescent="0.25">
      <c r="A226" s="7" t="s">
        <v>178</v>
      </c>
      <c r="B226" s="8">
        <f>2856+6610+4319+737+1620+7797</f>
        <v>23939</v>
      </c>
      <c r="C226" s="8">
        <v>0</v>
      </c>
      <c r="D226" s="8">
        <f>103+946+1675+1709+4004</f>
        <v>8437</v>
      </c>
      <c r="F226" s="8">
        <v>1871</v>
      </c>
      <c r="G226" s="8">
        <v>2974</v>
      </c>
      <c r="H226" s="8">
        <v>521</v>
      </c>
      <c r="I226" s="8">
        <v>13429</v>
      </c>
      <c r="J226" s="7">
        <v>12</v>
      </c>
      <c r="K226" s="7">
        <v>2007</v>
      </c>
      <c r="L226" s="7">
        <v>12</v>
      </c>
      <c r="M226" s="7" t="s">
        <v>170</v>
      </c>
      <c r="N226" t="str">
        <f t="shared" si="3"/>
        <v>Fi.a</v>
      </c>
    </row>
    <row r="227" spans="1:14" x14ac:dyDescent="0.25">
      <c r="A227" s="7" t="s">
        <v>171</v>
      </c>
      <c r="B227" s="8">
        <f>2+7+21+1+4+30</f>
        <v>65</v>
      </c>
      <c r="C227" s="8">
        <v>0</v>
      </c>
      <c r="D227" s="8">
        <f>7.6+0.6+1.2</f>
        <v>9.3999999999999986</v>
      </c>
      <c r="F227" s="8">
        <v>3.4</v>
      </c>
      <c r="G227" s="8">
        <v>47</v>
      </c>
      <c r="H227" s="8">
        <v>0</v>
      </c>
      <c r="I227" s="8">
        <v>42</v>
      </c>
      <c r="J227" s="7">
        <v>12</v>
      </c>
      <c r="K227" s="7">
        <v>2007</v>
      </c>
      <c r="L227" s="7">
        <v>12</v>
      </c>
      <c r="M227" s="7" t="s">
        <v>170</v>
      </c>
      <c r="N227" t="str">
        <f t="shared" si="3"/>
        <v>FM.è</v>
      </c>
    </row>
    <row r="228" spans="1:14" x14ac:dyDescent="0.25">
      <c r="A228" s="7" t="s">
        <v>179</v>
      </c>
      <c r="B228" s="8">
        <f>46+59+86+27+110</f>
        <v>328</v>
      </c>
      <c r="C228" s="8">
        <v>0</v>
      </c>
      <c r="D228" s="8">
        <f>6+57+112+50</f>
        <v>225</v>
      </c>
      <c r="F228" s="8">
        <v>17.5</v>
      </c>
      <c r="G228" s="8">
        <v>61</v>
      </c>
      <c r="H228" s="8">
        <v>0.1</v>
      </c>
      <c r="I228" s="8">
        <v>194</v>
      </c>
      <c r="J228" s="7">
        <v>12</v>
      </c>
      <c r="K228" s="7">
        <v>2007</v>
      </c>
      <c r="L228" s="7">
        <v>12</v>
      </c>
      <c r="M228" s="7" t="s">
        <v>170</v>
      </c>
      <c r="N228" t="str">
        <f t="shared" si="3"/>
        <v>Is.o</v>
      </c>
    </row>
    <row r="229" spans="1:14" x14ac:dyDescent="0.25">
      <c r="A229" s="7" t="s">
        <v>11</v>
      </c>
      <c r="B229" s="8">
        <f>4144+843+1349+582+450+2407</f>
        <v>9775</v>
      </c>
      <c r="C229" s="8">
        <v>0</v>
      </c>
      <c r="D229" s="8">
        <f>1281+188+2213+641+764</f>
        <v>5087</v>
      </c>
      <c r="F229" s="8">
        <v>282</v>
      </c>
      <c r="G229" s="8">
        <v>2773</v>
      </c>
      <c r="H229" s="8">
        <v>612</v>
      </c>
      <c r="I229" s="8">
        <v>6001</v>
      </c>
      <c r="J229" s="7">
        <v>12</v>
      </c>
      <c r="K229" s="7">
        <v>2007</v>
      </c>
      <c r="L229" s="7">
        <v>12</v>
      </c>
      <c r="M229" s="7" t="s">
        <v>170</v>
      </c>
      <c r="N229" t="str">
        <f t="shared" si="3"/>
        <v>It.i</v>
      </c>
    </row>
    <row r="230" spans="1:14" x14ac:dyDescent="0.25">
      <c r="A230" s="7" t="s">
        <v>180</v>
      </c>
      <c r="B230" s="8">
        <f>3+22+2+30</f>
        <v>57</v>
      </c>
      <c r="C230" s="8">
        <v>0</v>
      </c>
      <c r="D230" s="8">
        <f>1+2+16+25</f>
        <v>44</v>
      </c>
      <c r="F230" s="8">
        <v>0.6</v>
      </c>
      <c r="G230" s="8">
        <v>10.6</v>
      </c>
      <c r="H230" s="8">
        <v>-5.2</v>
      </c>
      <c r="I230" s="8">
        <v>32</v>
      </c>
      <c r="J230" s="7">
        <v>12</v>
      </c>
      <c r="K230" s="7">
        <v>2007</v>
      </c>
      <c r="L230" s="7">
        <v>12</v>
      </c>
      <c r="M230" s="7" t="s">
        <v>170</v>
      </c>
      <c r="N230" t="str">
        <f t="shared" si="3"/>
        <v xml:space="preserve">Mo. </v>
      </c>
    </row>
    <row r="231" spans="1:14" x14ac:dyDescent="0.25">
      <c r="A231" s="7" t="s">
        <v>181</v>
      </c>
      <c r="B231" s="8">
        <f>113+28+65+1+18+77</f>
        <v>302</v>
      </c>
      <c r="C231" s="8">
        <v>0</v>
      </c>
      <c r="D231" s="8">
        <f>10+18+19+104</f>
        <v>151</v>
      </c>
      <c r="F231" s="8">
        <v>52</v>
      </c>
      <c r="G231" s="8">
        <v>-34</v>
      </c>
      <c r="H231" s="8">
        <v>-26</v>
      </c>
      <c r="I231" s="8">
        <v>189</v>
      </c>
      <c r="J231" s="7">
        <v>12</v>
      </c>
      <c r="K231" s="7">
        <v>2007</v>
      </c>
      <c r="L231" s="7">
        <v>12</v>
      </c>
      <c r="M231" s="7" t="s">
        <v>170</v>
      </c>
      <c r="N231" t="str">
        <f t="shared" si="3"/>
        <v>SN.D</v>
      </c>
    </row>
    <row r="232" spans="1:14" x14ac:dyDescent="0.25">
      <c r="A232" s="7" t="s">
        <v>182</v>
      </c>
      <c r="B232" s="8">
        <f>21+30+37+6+87</f>
        <v>181</v>
      </c>
      <c r="C232" s="8">
        <v>0</v>
      </c>
      <c r="D232" s="8">
        <f>6+2+31+22+59</f>
        <v>120</v>
      </c>
      <c r="F232" s="8">
        <v>28</v>
      </c>
      <c r="G232" s="8">
        <v>25</v>
      </c>
      <c r="H232" s="8">
        <v>-3.4</v>
      </c>
      <c r="I232" s="8">
        <v>101</v>
      </c>
      <c r="J232" s="7">
        <v>12</v>
      </c>
      <c r="K232" s="7">
        <v>2007</v>
      </c>
      <c r="L232" s="9">
        <v>12</v>
      </c>
      <c r="M232" s="7" t="s">
        <v>170</v>
      </c>
      <c r="N232" t="str">
        <f t="shared" si="3"/>
        <v>Tr.l</v>
      </c>
    </row>
    <row r="233" spans="1:14" x14ac:dyDescent="0.25">
      <c r="A233" s="7" t="s">
        <v>183</v>
      </c>
      <c r="B233" s="8">
        <f>66+38+52+23+41</f>
        <v>220</v>
      </c>
      <c r="C233" s="8">
        <v>0</v>
      </c>
      <c r="D233" s="8">
        <f>8+28+41+43</f>
        <v>120</v>
      </c>
      <c r="F233" s="8">
        <v>8</v>
      </c>
      <c r="G233" s="8">
        <v>44</v>
      </c>
      <c r="H233" s="8">
        <v>25</v>
      </c>
      <c r="I233" s="8">
        <v>241</v>
      </c>
      <c r="J233" s="7">
        <v>12</v>
      </c>
      <c r="K233" s="7">
        <v>2007</v>
      </c>
      <c r="L233" s="7">
        <v>12</v>
      </c>
      <c r="M233" s="7" t="s">
        <v>170</v>
      </c>
      <c r="N233" t="str">
        <f t="shared" si="3"/>
        <v>Zi.o</v>
      </c>
    </row>
    <row r="234" spans="1:14" x14ac:dyDescent="0.25">
      <c r="A234" s="7" t="s">
        <v>185</v>
      </c>
      <c r="B234" s="8">
        <f>30+50+30+4+41</f>
        <v>155</v>
      </c>
      <c r="C234" s="8">
        <v>0</v>
      </c>
      <c r="D234" s="8">
        <f>20+47+34</f>
        <v>101</v>
      </c>
      <c r="F234" s="8">
        <v>2.2000000000000002</v>
      </c>
      <c r="G234" s="8">
        <v>56</v>
      </c>
      <c r="H234" s="8">
        <v>-23</v>
      </c>
      <c r="I234" s="8">
        <v>69</v>
      </c>
      <c r="J234" s="7">
        <v>8</v>
      </c>
      <c r="K234" s="7">
        <v>2008</v>
      </c>
      <c r="L234" s="9">
        <v>12</v>
      </c>
      <c r="M234" s="7" t="s">
        <v>170</v>
      </c>
      <c r="N234" t="str">
        <f t="shared" si="3"/>
        <v>Ai.a</v>
      </c>
    </row>
    <row r="235" spans="1:14" x14ac:dyDescent="0.25">
      <c r="A235" s="7" t="s">
        <v>186</v>
      </c>
      <c r="B235" s="8">
        <f>16756+268+2+2238+974+2337</f>
        <v>22575</v>
      </c>
      <c r="C235" s="8">
        <v>41</v>
      </c>
      <c r="D235" s="8">
        <f>40+255</f>
        <v>295</v>
      </c>
      <c r="F235" s="8">
        <v>869</v>
      </c>
      <c r="G235" s="8">
        <v>640</v>
      </c>
      <c r="H235" s="8">
        <v>-1094</v>
      </c>
      <c r="I235" s="8">
        <f>1191+287</f>
        <v>1478</v>
      </c>
      <c r="J235" s="7">
        <v>12</v>
      </c>
      <c r="K235" s="7">
        <v>2008</v>
      </c>
      <c r="L235" s="9">
        <v>12</v>
      </c>
      <c r="M235" s="7" t="s">
        <v>170</v>
      </c>
      <c r="N235" t="str">
        <f t="shared" si="3"/>
        <v>Ba.e</v>
      </c>
    </row>
    <row r="236" spans="1:14" x14ac:dyDescent="0.25">
      <c r="A236" s="7" t="s">
        <v>188</v>
      </c>
      <c r="B236" s="8">
        <f>12199+453</f>
        <v>12652</v>
      </c>
      <c r="C236" s="8">
        <v>0</v>
      </c>
      <c r="D236" s="8">
        <f>47+99</f>
        <v>146</v>
      </c>
      <c r="E236" s="8">
        <v>11160</v>
      </c>
      <c r="F236" s="8">
        <v>155</v>
      </c>
      <c r="G236" s="8">
        <v>954</v>
      </c>
      <c r="H236" s="8">
        <v>67</v>
      </c>
      <c r="I236" s="8">
        <f>684+86</f>
        <v>770</v>
      </c>
      <c r="J236" s="7">
        <v>12</v>
      </c>
      <c r="K236" s="7">
        <v>2008</v>
      </c>
      <c r="L236" s="9">
        <v>12</v>
      </c>
      <c r="M236" s="7" t="s">
        <v>170</v>
      </c>
      <c r="N236" t="str">
        <f t="shared" si="3"/>
        <v>BA.A</v>
      </c>
    </row>
    <row r="237" spans="1:14" x14ac:dyDescent="0.25">
      <c r="A237" s="7" t="s">
        <v>184</v>
      </c>
      <c r="B237" s="8">
        <f>129+92+1+6+41</f>
        <v>269</v>
      </c>
      <c r="C237" s="8">
        <v>0</v>
      </c>
      <c r="D237" s="8">
        <f>3+17+32+56</f>
        <v>108</v>
      </c>
      <c r="F237" s="8">
        <v>3.6</v>
      </c>
      <c r="G237" s="8">
        <v>124</v>
      </c>
      <c r="H237" s="8">
        <v>-6.5</v>
      </c>
      <c r="I237" s="8">
        <v>61</v>
      </c>
      <c r="J237" s="7">
        <v>12</v>
      </c>
      <c r="K237" s="7">
        <v>2008</v>
      </c>
      <c r="L237" s="7">
        <v>12</v>
      </c>
      <c r="M237" s="7" t="s">
        <v>170</v>
      </c>
      <c r="N237" t="str">
        <f t="shared" si="3"/>
        <v>Co.I</v>
      </c>
    </row>
    <row r="238" spans="1:14" x14ac:dyDescent="0.25">
      <c r="A238" s="7" t="s">
        <v>187</v>
      </c>
      <c r="B238" s="8">
        <f>1514+425+604+713+745+1544</f>
        <v>5545</v>
      </c>
      <c r="C238" s="8">
        <v>0</v>
      </c>
      <c r="D238" s="8">
        <f>107+11+853+1022+659</f>
        <v>2652</v>
      </c>
      <c r="F238" s="8">
        <v>15</v>
      </c>
      <c r="G238" s="8">
        <v>1255</v>
      </c>
      <c r="H238" s="8">
        <v>649</v>
      </c>
      <c r="I238" s="8">
        <v>11498</v>
      </c>
      <c r="J238" s="7">
        <v>12</v>
      </c>
      <c r="K238" s="7">
        <v>2008</v>
      </c>
      <c r="L238" s="7">
        <v>12</v>
      </c>
      <c r="M238" s="7" t="s">
        <v>170</v>
      </c>
      <c r="N238" t="str">
        <f t="shared" si="3"/>
        <v>Er.a</v>
      </c>
    </row>
    <row r="239" spans="1:14" x14ac:dyDescent="0.25">
      <c r="A239" s="7" t="s">
        <v>189</v>
      </c>
      <c r="B239" s="8">
        <f>14+15+2</f>
        <v>31</v>
      </c>
      <c r="C239" s="8">
        <v>0</v>
      </c>
      <c r="D239" s="8">
        <f>1+4+5+10</f>
        <v>20</v>
      </c>
      <c r="F239" s="8">
        <v>5.6</v>
      </c>
      <c r="G239" s="8">
        <v>-7</v>
      </c>
      <c r="H239" s="8">
        <v>7.7</v>
      </c>
      <c r="I239" s="8">
        <v>17.8</v>
      </c>
      <c r="J239" s="7">
        <v>12</v>
      </c>
      <c r="K239" s="7">
        <v>2008</v>
      </c>
      <c r="L239" s="7">
        <v>12</v>
      </c>
      <c r="M239" s="7" t="s">
        <v>170</v>
      </c>
      <c r="N239" t="str">
        <f t="shared" si="3"/>
        <v>FU.X</v>
      </c>
    </row>
    <row r="240" spans="1:14" x14ac:dyDescent="0.25">
      <c r="A240" s="7" t="s">
        <v>190</v>
      </c>
      <c r="B240" s="8">
        <f>71+160+110+6+77+167</f>
        <v>591</v>
      </c>
      <c r="C240" s="8">
        <v>0</v>
      </c>
      <c r="D240" s="8">
        <f>3+18+94+123+110</f>
        <v>348</v>
      </c>
      <c r="F240" s="8">
        <v>17.7</v>
      </c>
      <c r="G240" s="8">
        <v>60</v>
      </c>
      <c r="H240" s="8">
        <v>42</v>
      </c>
      <c r="I240" s="8">
        <v>547</v>
      </c>
      <c r="J240" s="7">
        <v>12</v>
      </c>
      <c r="K240" s="7">
        <v>2008</v>
      </c>
      <c r="L240" s="7">
        <v>12</v>
      </c>
      <c r="M240" s="7" t="s">
        <v>170</v>
      </c>
      <c r="N240" t="str">
        <f t="shared" si="3"/>
        <v xml:space="preserve">IM. </v>
      </c>
    </row>
    <row r="241" spans="1:14" x14ac:dyDescent="0.25">
      <c r="A241" s="7" t="s">
        <v>191</v>
      </c>
      <c r="B241" s="8">
        <f>158+225+4+3+26</f>
        <v>416</v>
      </c>
      <c r="C241" s="8">
        <v>0</v>
      </c>
      <c r="D241" s="8">
        <f>3+58+172+25</f>
        <v>258</v>
      </c>
      <c r="F241" s="8">
        <v>41</v>
      </c>
      <c r="G241" s="8">
        <v>83</v>
      </c>
      <c r="H241" s="8">
        <v>10.1</v>
      </c>
      <c r="I241" s="8">
        <v>50</v>
      </c>
      <c r="J241" s="7">
        <v>12</v>
      </c>
      <c r="K241" s="7">
        <v>2008</v>
      </c>
      <c r="L241" s="7">
        <v>12</v>
      </c>
      <c r="M241" s="7" t="s">
        <v>170</v>
      </c>
      <c r="N241" t="str">
        <f t="shared" si="3"/>
        <v>IP.I</v>
      </c>
    </row>
    <row r="242" spans="1:14" x14ac:dyDescent="0.25">
      <c r="A242" s="7" t="s">
        <v>192</v>
      </c>
      <c r="B242" s="8">
        <f>6+5+7+2+6</f>
        <v>26</v>
      </c>
      <c r="C242" s="8">
        <v>0</v>
      </c>
      <c r="D242" s="8">
        <f>1.6+8.6+6.8</f>
        <v>17</v>
      </c>
      <c r="F242" s="8">
        <v>15.7</v>
      </c>
      <c r="G242" s="8">
        <v>-6.3</v>
      </c>
      <c r="H242" s="8">
        <v>-2.2000000000000002</v>
      </c>
      <c r="I242" s="8">
        <v>11.3</v>
      </c>
      <c r="J242" s="7">
        <v>12</v>
      </c>
      <c r="K242" s="7">
        <v>2008</v>
      </c>
      <c r="L242" s="7">
        <v>12</v>
      </c>
      <c r="M242" s="7" t="s">
        <v>170</v>
      </c>
      <c r="N242" t="str">
        <f t="shared" si="3"/>
        <v xml:space="preserve">KI. </v>
      </c>
    </row>
    <row r="243" spans="1:14" x14ac:dyDescent="0.25">
      <c r="A243" s="7" t="s">
        <v>193</v>
      </c>
      <c r="B243" s="8">
        <f>2+9+30+5+13</f>
        <v>59</v>
      </c>
      <c r="C243" s="8">
        <v>0</v>
      </c>
      <c r="D243" s="8">
        <f>14+6+13</f>
        <v>33</v>
      </c>
      <c r="F243" s="8">
        <v>6.6</v>
      </c>
      <c r="G243" s="8">
        <v>10.6</v>
      </c>
      <c r="H243" s="8">
        <v>0.4</v>
      </c>
      <c r="I243" s="8">
        <v>30</v>
      </c>
      <c r="J243" s="7">
        <v>12</v>
      </c>
      <c r="K243" s="7">
        <v>2008</v>
      </c>
      <c r="L243" s="7">
        <v>12</v>
      </c>
      <c r="M243" s="7" t="s">
        <v>170</v>
      </c>
      <c r="N243" t="str">
        <f t="shared" si="3"/>
        <v>Mo.i</v>
      </c>
    </row>
    <row r="244" spans="1:14" x14ac:dyDescent="0.25">
      <c r="A244" s="7" t="s">
        <v>194</v>
      </c>
      <c r="B244" s="8">
        <f>1598+921+788+1021+370+2139</f>
        <v>6837</v>
      </c>
      <c r="C244" s="8">
        <v>0</v>
      </c>
      <c r="D244" s="8">
        <f>202+367+1376+696+1108</f>
        <v>3749</v>
      </c>
      <c r="F244" s="8">
        <v>1556</v>
      </c>
      <c r="G244" s="8">
        <v>964</v>
      </c>
      <c r="H244" s="8">
        <v>-413</v>
      </c>
      <c r="I244" s="8">
        <v>4660</v>
      </c>
      <c r="J244" s="7">
        <v>12</v>
      </c>
      <c r="K244" s="7">
        <v>2008</v>
      </c>
      <c r="L244" s="7">
        <v>12</v>
      </c>
      <c r="M244" s="7" t="s">
        <v>170</v>
      </c>
      <c r="N244" t="str">
        <f t="shared" si="3"/>
        <v>PI.C</v>
      </c>
    </row>
    <row r="245" spans="1:14" x14ac:dyDescent="0.25">
      <c r="A245" s="7" t="s">
        <v>195</v>
      </c>
      <c r="B245" s="8">
        <f>58+83+137+7+95+435</f>
        <v>815</v>
      </c>
      <c r="C245" s="8">
        <v>0</v>
      </c>
      <c r="D245" s="8">
        <f>20+81+93+89</f>
        <v>283</v>
      </c>
      <c r="F245" s="8">
        <v>26</v>
      </c>
      <c r="G245" s="8">
        <v>319</v>
      </c>
      <c r="H245" s="8">
        <v>100</v>
      </c>
      <c r="I245" s="8">
        <v>690</v>
      </c>
      <c r="J245" s="7">
        <v>12</v>
      </c>
      <c r="K245" s="7">
        <v>2008</v>
      </c>
      <c r="L245" s="7">
        <v>12</v>
      </c>
      <c r="M245" s="7" t="s">
        <v>170</v>
      </c>
      <c r="N245" t="str">
        <f t="shared" si="3"/>
        <v>RE.I</v>
      </c>
    </row>
    <row r="246" spans="1:14" x14ac:dyDescent="0.25">
      <c r="A246" s="10" t="s">
        <v>196</v>
      </c>
      <c r="B246" s="11">
        <f>264+82+114+2+4+16</f>
        <v>482</v>
      </c>
      <c r="C246" s="11">
        <v>0</v>
      </c>
      <c r="D246" s="11">
        <f>23+20+114+109</f>
        <v>266</v>
      </c>
      <c r="E246" s="11"/>
      <c r="F246" s="11">
        <v>185</v>
      </c>
      <c r="G246" s="11">
        <v>-18</v>
      </c>
      <c r="H246" s="11">
        <v>-6.1</v>
      </c>
      <c r="I246" s="12">
        <v>455</v>
      </c>
      <c r="J246" s="9">
        <v>12</v>
      </c>
      <c r="K246" s="9">
        <v>2008</v>
      </c>
      <c r="L246" s="9">
        <v>12</v>
      </c>
      <c r="M246" s="7" t="s">
        <v>170</v>
      </c>
      <c r="N246" t="str">
        <f t="shared" si="3"/>
        <v xml:space="preserve">RE. </v>
      </c>
    </row>
    <row r="247" spans="1:14" x14ac:dyDescent="0.25">
      <c r="A247" s="7" t="s">
        <v>197</v>
      </c>
      <c r="B247" s="8">
        <f>4+5+7+1</f>
        <v>17</v>
      </c>
      <c r="C247" s="8">
        <v>0</v>
      </c>
      <c r="D247" s="8">
        <f>1.8+6.3</f>
        <v>8.1</v>
      </c>
      <c r="F247" s="8">
        <v>1.1000000000000001</v>
      </c>
      <c r="G247" s="8">
        <v>4.3</v>
      </c>
      <c r="H247" s="8">
        <v>0.7</v>
      </c>
      <c r="I247" s="8">
        <v>28</v>
      </c>
      <c r="J247" s="7">
        <v>12</v>
      </c>
      <c r="K247" s="7">
        <v>2008</v>
      </c>
      <c r="L247" s="7">
        <v>12</v>
      </c>
      <c r="M247" s="7" t="s">
        <v>170</v>
      </c>
      <c r="N247" t="str">
        <f t="shared" si="3"/>
        <v xml:space="preserve">RO. </v>
      </c>
    </row>
    <row r="248" spans="1:14" x14ac:dyDescent="0.25">
      <c r="A248" s="7" t="s">
        <v>198</v>
      </c>
      <c r="B248" s="8">
        <f>333+749+713+92+448+411</f>
        <v>2746</v>
      </c>
      <c r="C248" s="8">
        <v>0</v>
      </c>
      <c r="D248" s="8">
        <f>18+9+582+387+1128</f>
        <v>2124</v>
      </c>
      <c r="F248" s="8">
        <v>197</v>
      </c>
      <c r="G248" s="8">
        <v>112</v>
      </c>
      <c r="H248" s="8">
        <v>53</v>
      </c>
      <c r="I248" s="8">
        <v>1798</v>
      </c>
      <c r="J248" s="7">
        <v>12</v>
      </c>
      <c r="K248" s="7">
        <v>2009</v>
      </c>
      <c r="L248" s="7">
        <v>12</v>
      </c>
      <c r="M248" s="7" t="s">
        <v>170</v>
      </c>
      <c r="N248" t="str">
        <f t="shared" si="3"/>
        <v>AS.I</v>
      </c>
    </row>
    <row r="249" spans="1:14" x14ac:dyDescent="0.25">
      <c r="A249" s="7" t="s">
        <v>213</v>
      </c>
      <c r="B249" s="8">
        <f xml:space="preserve"> 1442+5+33</f>
        <v>1480</v>
      </c>
      <c r="C249" s="8">
        <v>0</v>
      </c>
      <c r="D249" s="8">
        <f>18+2+618</f>
        <v>638</v>
      </c>
      <c r="E249" s="8">
        <v>695</v>
      </c>
      <c r="F249" s="8">
        <v>137</v>
      </c>
      <c r="G249" s="8">
        <v>6.1</v>
      </c>
      <c r="H249" s="8">
        <v>2.4</v>
      </c>
      <c r="I249" s="8">
        <f>33+12</f>
        <v>45</v>
      </c>
      <c r="J249" s="7">
        <v>12</v>
      </c>
      <c r="K249" s="7">
        <v>2009</v>
      </c>
      <c r="L249" s="7">
        <v>12</v>
      </c>
      <c r="M249" s="7" t="s">
        <v>170</v>
      </c>
      <c r="N249" t="str">
        <f t="shared" si="3"/>
        <v xml:space="preserve">BA. </v>
      </c>
    </row>
    <row r="250" spans="1:14" x14ac:dyDescent="0.25">
      <c r="A250" s="7" t="s">
        <v>200</v>
      </c>
      <c r="B250" s="8">
        <f>7923+21+148+211</f>
        <v>8303</v>
      </c>
      <c r="C250" s="8">
        <v>0</v>
      </c>
      <c r="D250" s="8">
        <f>4+26+230</f>
        <v>260</v>
      </c>
      <c r="E250" s="8">
        <v>15</v>
      </c>
      <c r="F250" s="8">
        <v>68</v>
      </c>
      <c r="G250" s="8">
        <v>636</v>
      </c>
      <c r="H250" s="8">
        <v>54</v>
      </c>
      <c r="I250" s="8">
        <f>302+109</f>
        <v>411</v>
      </c>
      <c r="J250" s="7">
        <v>12</v>
      </c>
      <c r="K250" s="7">
        <v>2009</v>
      </c>
      <c r="L250" s="7">
        <v>12</v>
      </c>
      <c r="M250" s="7" t="s">
        <v>170</v>
      </c>
      <c r="N250" t="str">
        <f t="shared" si="3"/>
        <v xml:space="preserve">BA. </v>
      </c>
    </row>
    <row r="251" spans="1:14" x14ac:dyDescent="0.25">
      <c r="A251" s="7" t="s">
        <v>199</v>
      </c>
      <c r="B251" s="8">
        <f>32+39+51+3+62</f>
        <v>187</v>
      </c>
      <c r="C251" s="8">
        <v>0</v>
      </c>
      <c r="D251" s="8">
        <f>3+32+30+31</f>
        <v>96</v>
      </c>
      <c r="F251" s="8">
        <v>32</v>
      </c>
      <c r="G251" s="8">
        <v>33</v>
      </c>
      <c r="H251" s="8">
        <v>16.5</v>
      </c>
      <c r="I251" s="8">
        <v>128</v>
      </c>
      <c r="J251" s="7">
        <v>12</v>
      </c>
      <c r="K251" s="7">
        <v>2009</v>
      </c>
      <c r="L251" s="7">
        <v>12</v>
      </c>
      <c r="M251" s="7" t="s">
        <v>170</v>
      </c>
      <c r="N251" t="str">
        <f t="shared" si="3"/>
        <v>BA.T</v>
      </c>
    </row>
    <row r="252" spans="1:14" x14ac:dyDescent="0.25">
      <c r="A252" s="7" t="s">
        <v>201</v>
      </c>
      <c r="B252" s="8">
        <f>46+16+55+4+21</f>
        <v>142</v>
      </c>
      <c r="C252" s="8">
        <v>0</v>
      </c>
      <c r="D252" s="8">
        <f>3+21+18+25</f>
        <v>67</v>
      </c>
      <c r="F252" s="8">
        <v>11.3</v>
      </c>
      <c r="G252" s="8">
        <v>42</v>
      </c>
      <c r="H252" s="8">
        <v>4.5999999999999996</v>
      </c>
      <c r="I252" s="8">
        <v>119</v>
      </c>
      <c r="J252" s="7">
        <v>12</v>
      </c>
      <c r="K252" s="7">
        <v>2009</v>
      </c>
      <c r="L252" s="7">
        <v>12</v>
      </c>
      <c r="M252" s="7" t="s">
        <v>170</v>
      </c>
      <c r="N252" t="str">
        <f t="shared" si="3"/>
        <v>BO.O</v>
      </c>
    </row>
    <row r="253" spans="1:14" x14ac:dyDescent="0.25">
      <c r="A253" s="7" t="s">
        <v>202</v>
      </c>
      <c r="B253" s="8">
        <f>3+16+23+3+5</f>
        <v>50</v>
      </c>
      <c r="C253" s="8">
        <v>0</v>
      </c>
      <c r="D253" s="8">
        <f>3+5+9+15</f>
        <v>32</v>
      </c>
      <c r="F253" s="8">
        <v>6.5</v>
      </c>
      <c r="G253" s="8">
        <v>7.5</v>
      </c>
      <c r="H253" s="8">
        <v>0.8</v>
      </c>
      <c r="I253" s="8">
        <v>57</v>
      </c>
      <c r="J253" s="7">
        <v>12</v>
      </c>
      <c r="K253" s="7">
        <v>2009</v>
      </c>
      <c r="L253" s="7">
        <v>12</v>
      </c>
      <c r="M253" s="7" t="s">
        <v>170</v>
      </c>
      <c r="N253" t="str">
        <f t="shared" si="3"/>
        <v>CA.I</v>
      </c>
    </row>
    <row r="254" spans="1:14" x14ac:dyDescent="0.25">
      <c r="A254" s="7" t="s">
        <v>203</v>
      </c>
      <c r="B254" s="8">
        <f>2205+160+1042+286+932+2026</f>
        <v>6651</v>
      </c>
      <c r="C254" s="8">
        <v>0</v>
      </c>
      <c r="D254" s="8">
        <f>936+137+2558+203+837</f>
        <v>4671</v>
      </c>
      <c r="F254" s="8">
        <v>396</v>
      </c>
      <c r="G254" s="8">
        <v>858</v>
      </c>
      <c r="H254" s="8">
        <v>189</v>
      </c>
      <c r="I254" s="8">
        <v>4267</v>
      </c>
      <c r="J254" s="7">
        <v>12</v>
      </c>
      <c r="K254" s="7">
        <v>2009</v>
      </c>
      <c r="L254" s="7">
        <v>12</v>
      </c>
      <c r="M254" s="7" t="s">
        <v>170</v>
      </c>
      <c r="N254" t="str">
        <f t="shared" si="3"/>
        <v>CI.R</v>
      </c>
    </row>
    <row r="255" spans="1:14" x14ac:dyDescent="0.25">
      <c r="A255" s="7" t="s">
        <v>204</v>
      </c>
      <c r="B255" s="8">
        <f>2207+159+1042+300+1030+2066</f>
        <v>6804</v>
      </c>
      <c r="C255" s="8">
        <v>0</v>
      </c>
      <c r="D255" s="8">
        <f>1659+138+2618+263+837</f>
        <v>5515</v>
      </c>
      <c r="F255" s="8">
        <v>360</v>
      </c>
      <c r="G255" s="8">
        <v>282</v>
      </c>
      <c r="H255" s="8">
        <v>182</v>
      </c>
      <c r="I255" s="8">
        <v>4267</v>
      </c>
      <c r="J255" s="7">
        <v>12</v>
      </c>
      <c r="K255" s="7">
        <v>2009</v>
      </c>
      <c r="L255" s="7">
        <v>12</v>
      </c>
      <c r="M255" s="7" t="s">
        <v>170</v>
      </c>
      <c r="N255" t="str">
        <f t="shared" si="3"/>
        <v xml:space="preserve">CO. </v>
      </c>
    </row>
    <row r="256" spans="1:14" x14ac:dyDescent="0.25">
      <c r="A256" s="7" t="s">
        <v>205</v>
      </c>
      <c r="B256" s="8">
        <f>22717+243+462+1474</f>
        <v>24896</v>
      </c>
      <c r="C256" s="8">
        <v>0</v>
      </c>
      <c r="D256" s="8">
        <f>297+93+891</f>
        <v>1281</v>
      </c>
      <c r="E256" s="8">
        <v>21687</v>
      </c>
      <c r="F256" s="8">
        <v>729</v>
      </c>
      <c r="G256" s="8">
        <v>1122</v>
      </c>
      <c r="H256" s="8">
        <v>88</v>
      </c>
      <c r="I256" s="8">
        <f>848+239</f>
        <v>1087</v>
      </c>
      <c r="J256" s="7">
        <v>12</v>
      </c>
      <c r="K256" s="7">
        <v>2009</v>
      </c>
      <c r="L256" s="7">
        <v>12</v>
      </c>
      <c r="M256" s="7" t="s">
        <v>170</v>
      </c>
      <c r="N256" t="str">
        <f t="shared" si="3"/>
        <v xml:space="preserve">CR. </v>
      </c>
    </row>
    <row r="257" spans="1:14" x14ac:dyDescent="0.25">
      <c r="A257" s="7" t="s">
        <v>207</v>
      </c>
      <c r="B257" s="8">
        <f>7529+308+1862+347+757+5567</f>
        <v>16370</v>
      </c>
      <c r="C257" s="8">
        <v>0</v>
      </c>
      <c r="D257" s="8">
        <f>1469+1305+3383+64+177</f>
        <v>6398</v>
      </c>
      <c r="F257" s="8">
        <v>5292</v>
      </c>
      <c r="G257" s="8">
        <v>2545</v>
      </c>
      <c r="H257" s="8">
        <v>251</v>
      </c>
      <c r="I257" s="8">
        <v>8867</v>
      </c>
      <c r="J257" s="7">
        <v>12</v>
      </c>
      <c r="K257" s="7">
        <v>2009</v>
      </c>
      <c r="L257" s="7">
        <v>12</v>
      </c>
      <c r="M257" s="7" t="s">
        <v>170</v>
      </c>
      <c r="N257" t="str">
        <f t="shared" si="3"/>
        <v xml:space="preserve">ED. </v>
      </c>
    </row>
    <row r="258" spans="1:14" x14ac:dyDescent="0.25">
      <c r="A258" s="7" t="s">
        <v>208</v>
      </c>
      <c r="B258" s="8">
        <f>69+41+86+2+19+79</f>
        <v>296</v>
      </c>
      <c r="C258" s="8">
        <v>0</v>
      </c>
      <c r="D258" s="8">
        <f>87+25+17+9+2</f>
        <v>140</v>
      </c>
      <c r="F258" s="8">
        <v>12.7</v>
      </c>
      <c r="G258" s="8">
        <v>109</v>
      </c>
      <c r="H258" s="8">
        <v>0.8</v>
      </c>
      <c r="I258" s="8">
        <v>335</v>
      </c>
      <c r="J258" s="7">
        <v>12</v>
      </c>
      <c r="K258" s="7">
        <v>2009</v>
      </c>
      <c r="L258" s="7">
        <v>12</v>
      </c>
      <c r="M258" s="7" t="s">
        <v>170</v>
      </c>
      <c r="N258" t="str">
        <f t="shared" si="3"/>
        <v xml:space="preserve">EL. </v>
      </c>
    </row>
    <row r="259" spans="1:14" x14ac:dyDescent="0.25">
      <c r="A259" s="7" t="s">
        <v>209</v>
      </c>
      <c r="B259" s="8">
        <f>63177+5495+14916+6033+1956+24063</f>
        <v>115640</v>
      </c>
      <c r="C259" s="8">
        <v>0</v>
      </c>
      <c r="D259" s="8">
        <f>3978+944+18064+6736+13308</f>
        <v>43030</v>
      </c>
      <c r="F259" s="8">
        <v>4005</v>
      </c>
      <c r="G259" s="8">
        <v>37701</v>
      </c>
      <c r="H259" s="8">
        <v>5317</v>
      </c>
      <c r="I259" s="8">
        <v>83227</v>
      </c>
      <c r="J259" s="7">
        <v>12</v>
      </c>
      <c r="K259" s="7">
        <v>2009</v>
      </c>
      <c r="L259" s="7">
        <v>12</v>
      </c>
      <c r="M259" s="7" t="s">
        <v>170</v>
      </c>
      <c r="N259" t="str">
        <f t="shared" ref="N259:N294" si="4">CONCATENATE(LEFT(A259,2),".",RIGHT(A259,1))</f>
        <v>EN.A</v>
      </c>
    </row>
    <row r="260" spans="1:14" x14ac:dyDescent="0.25">
      <c r="A260" s="7" t="s">
        <v>206</v>
      </c>
      <c r="B260" s="8">
        <f>70+8+5+7+27</f>
        <v>117</v>
      </c>
      <c r="C260" s="8">
        <v>0</v>
      </c>
      <c r="D260" s="8">
        <f>51+4+24</f>
        <v>79</v>
      </c>
      <c r="F260" s="8">
        <v>51</v>
      </c>
      <c r="G260" s="8">
        <v>-8.6</v>
      </c>
      <c r="H260" s="8">
        <v>-10.6</v>
      </c>
      <c r="I260" s="8">
        <v>9.6999999999999993</v>
      </c>
      <c r="J260" s="7">
        <v>12</v>
      </c>
      <c r="K260" s="7">
        <v>2009</v>
      </c>
      <c r="L260" s="7">
        <v>12</v>
      </c>
      <c r="M260" s="7" t="s">
        <v>170</v>
      </c>
      <c r="N260" t="str">
        <f t="shared" si="4"/>
        <v>ER.L</v>
      </c>
    </row>
    <row r="261" spans="1:14" x14ac:dyDescent="0.25">
      <c r="A261" s="7" t="s">
        <v>211</v>
      </c>
      <c r="B261" s="8">
        <f>3124+8375+4768+343+2641+11146</f>
        <v>30397</v>
      </c>
      <c r="C261" s="8">
        <v>0</v>
      </c>
      <c r="D261" s="8">
        <f>198+1136+4604+1904+12400</f>
        <v>20242</v>
      </c>
      <c r="F261" s="8">
        <v>2544</v>
      </c>
      <c r="G261" s="8">
        <v>3153</v>
      </c>
      <c r="H261" s="8">
        <v>718</v>
      </c>
      <c r="I261" s="8">
        <v>18176</v>
      </c>
      <c r="J261" s="7">
        <v>12</v>
      </c>
      <c r="K261" s="7">
        <v>2009</v>
      </c>
      <c r="L261" s="7">
        <v>12</v>
      </c>
      <c r="M261" s="7" t="s">
        <v>170</v>
      </c>
      <c r="N261" t="str">
        <f t="shared" si="4"/>
        <v>FI.A</v>
      </c>
    </row>
    <row r="262" spans="1:14" x14ac:dyDescent="0.25">
      <c r="A262" s="7" t="s">
        <v>210</v>
      </c>
      <c r="B262" s="8">
        <f>204+23+230+31+159+749</f>
        <v>1396</v>
      </c>
      <c r="C262" s="8">
        <v>0</v>
      </c>
      <c r="D262" s="8">
        <f>10+84+348+20+147</f>
        <v>609</v>
      </c>
      <c r="F262" s="8">
        <v>61</v>
      </c>
      <c r="G262" s="8">
        <v>418</v>
      </c>
      <c r="H262" s="8">
        <v>5.5</v>
      </c>
      <c r="I262" s="8">
        <v>887</v>
      </c>
      <c r="J262" s="7">
        <v>12</v>
      </c>
      <c r="K262" s="7">
        <v>2009</v>
      </c>
      <c r="L262" s="7">
        <v>12</v>
      </c>
      <c r="M262" s="7" t="s">
        <v>170</v>
      </c>
      <c r="N262" t="str">
        <f t="shared" si="4"/>
        <v xml:space="preserve">GR. </v>
      </c>
    </row>
    <row r="263" spans="1:14" x14ac:dyDescent="0.25">
      <c r="A263" s="7" t="s">
        <v>212</v>
      </c>
      <c r="B263" s="8">
        <f>40+52+90+14+125</f>
        <v>321</v>
      </c>
      <c r="C263" s="8">
        <v>0</v>
      </c>
      <c r="D263" s="8">
        <f>5+32+130+53</f>
        <v>220</v>
      </c>
      <c r="F263" s="8">
        <v>17.5</v>
      </c>
      <c r="G263" s="8">
        <v>60</v>
      </c>
      <c r="H263" s="8">
        <v>0.7</v>
      </c>
      <c r="I263" s="8">
        <v>193</v>
      </c>
      <c r="J263" s="7">
        <v>12</v>
      </c>
      <c r="K263" s="7">
        <v>2009</v>
      </c>
      <c r="L263" s="7">
        <v>12</v>
      </c>
      <c r="M263" s="7" t="s">
        <v>170</v>
      </c>
      <c r="N263" t="str">
        <f t="shared" si="4"/>
        <v>IS.O</v>
      </c>
    </row>
    <row r="264" spans="1:14" x14ac:dyDescent="0.25">
      <c r="A264" s="7" t="s">
        <v>214</v>
      </c>
      <c r="B264" s="8">
        <f>7+5+15+2+6</f>
        <v>35</v>
      </c>
      <c r="C264" s="8">
        <v>0</v>
      </c>
      <c r="D264" s="8">
        <f>2.4+1.7+4.2+9.3</f>
        <v>17.600000000000001</v>
      </c>
      <c r="F264" s="8">
        <v>6.1</v>
      </c>
      <c r="G264" s="8">
        <v>8.1</v>
      </c>
      <c r="H264" s="8">
        <v>-1.3</v>
      </c>
      <c r="I264" s="8">
        <v>43</v>
      </c>
      <c r="J264" s="7">
        <v>12</v>
      </c>
      <c r="K264" s="7">
        <v>2009</v>
      </c>
      <c r="L264" s="7">
        <v>12</v>
      </c>
      <c r="M264" s="7" t="s">
        <v>170</v>
      </c>
      <c r="N264" t="str">
        <f t="shared" si="4"/>
        <v>PO.S</v>
      </c>
    </row>
    <row r="265" spans="1:14" x14ac:dyDescent="0.25">
      <c r="A265" s="7" t="s">
        <v>215</v>
      </c>
      <c r="B265" s="8">
        <f>20+19+15+4+2+1</f>
        <v>61</v>
      </c>
      <c r="C265" s="8">
        <v>0</v>
      </c>
      <c r="D265" s="8">
        <f>4+3+18+13</f>
        <v>38</v>
      </c>
      <c r="F265" s="8">
        <v>16.8</v>
      </c>
      <c r="G265" s="8">
        <v>7.2</v>
      </c>
      <c r="H265" s="8">
        <v>-13.4</v>
      </c>
      <c r="I265" s="8">
        <v>29</v>
      </c>
      <c r="J265" s="7">
        <v>12</v>
      </c>
      <c r="K265" s="7">
        <v>2009</v>
      </c>
      <c r="L265" s="7">
        <v>12</v>
      </c>
      <c r="M265" s="7" t="s">
        <v>170</v>
      </c>
      <c r="N265" t="str">
        <f t="shared" si="4"/>
        <v xml:space="preserve">RI. </v>
      </c>
    </row>
    <row r="266" spans="1:14" x14ac:dyDescent="0.25">
      <c r="A266" s="7" t="s">
        <v>216</v>
      </c>
      <c r="B266" s="8">
        <f>4872+239+2141+2429+132+2507</f>
        <v>12320</v>
      </c>
      <c r="C266" s="8">
        <v>0</v>
      </c>
      <c r="D266" s="8">
        <f>1344+276+3736+1450</f>
        <v>6806</v>
      </c>
      <c r="F266" s="8">
        <v>1629</v>
      </c>
      <c r="G266" s="8">
        <v>1564</v>
      </c>
      <c r="H266" s="8">
        <v>196</v>
      </c>
      <c r="I266" s="8">
        <v>5923</v>
      </c>
      <c r="J266" s="7">
        <v>12</v>
      </c>
      <c r="K266" s="7">
        <v>2010</v>
      </c>
      <c r="L266" s="7">
        <v>12</v>
      </c>
      <c r="M266" s="7" t="s">
        <v>170</v>
      </c>
      <c r="N266" t="str">
        <f t="shared" si="4"/>
        <v>A2.A</v>
      </c>
    </row>
    <row r="267" spans="1:14" x14ac:dyDescent="0.25">
      <c r="A267" s="7" t="s">
        <v>217</v>
      </c>
      <c r="B267" s="8">
        <f>262+36+891+428+2533+19743</f>
        <v>23893</v>
      </c>
      <c r="C267" s="8">
        <v>0</v>
      </c>
      <c r="D267" s="8">
        <f>403+131+9813+2535+1307</f>
        <v>14189</v>
      </c>
      <c r="F267" s="8">
        <v>600</v>
      </c>
      <c r="G267" s="8">
        <v>1900</v>
      </c>
      <c r="H267" s="8">
        <v>701</v>
      </c>
      <c r="I267" s="8">
        <v>3433</v>
      </c>
      <c r="J267" s="7">
        <v>12</v>
      </c>
      <c r="K267" s="7">
        <v>2010</v>
      </c>
      <c r="L267" s="7">
        <v>12</v>
      </c>
      <c r="M267" s="7" t="s">
        <v>170</v>
      </c>
      <c r="N267" t="str">
        <f t="shared" si="4"/>
        <v>AT.A</v>
      </c>
    </row>
    <row r="268" spans="1:14" x14ac:dyDescent="0.25">
      <c r="A268" s="7" t="s">
        <v>218</v>
      </c>
      <c r="B268" s="8">
        <f>7+14+1+337</f>
        <v>359</v>
      </c>
      <c r="C268" s="8">
        <v>0</v>
      </c>
      <c r="D268" s="8">
        <f>42+48+95+6</f>
        <v>191</v>
      </c>
      <c r="F268" s="8">
        <v>9</v>
      </c>
      <c r="G268" s="8">
        <v>90</v>
      </c>
      <c r="H268" s="8">
        <v>11.3</v>
      </c>
      <c r="I268" s="8">
        <v>85</v>
      </c>
      <c r="J268" s="7">
        <v>12</v>
      </c>
      <c r="K268" s="7">
        <v>2010</v>
      </c>
      <c r="L268" s="7">
        <v>12</v>
      </c>
      <c r="M268" s="7" t="s">
        <v>170</v>
      </c>
      <c r="N268" t="str">
        <f t="shared" si="4"/>
        <v>AU.I</v>
      </c>
    </row>
    <row r="269" spans="1:14" x14ac:dyDescent="0.25">
      <c r="A269" s="7" t="s">
        <v>219</v>
      </c>
      <c r="B269" s="8">
        <f>146+4+2+4+1</f>
        <v>157</v>
      </c>
      <c r="C269" s="8">
        <v>0</v>
      </c>
      <c r="D269" s="8">
        <f>3.2+0.4+1</f>
        <v>4.5999999999999996</v>
      </c>
      <c r="F269" s="8">
        <v>5.8</v>
      </c>
      <c r="G269" s="8">
        <v>109</v>
      </c>
      <c r="H269" s="8">
        <v>0.9</v>
      </c>
      <c r="I269" s="8">
        <v>8</v>
      </c>
      <c r="J269" s="7">
        <v>12</v>
      </c>
      <c r="K269" s="7">
        <v>2010</v>
      </c>
      <c r="L269" s="9">
        <v>12</v>
      </c>
      <c r="M269" s="7" t="s">
        <v>170</v>
      </c>
      <c r="N269" t="str">
        <f t="shared" si="4"/>
        <v xml:space="preserve">BO. </v>
      </c>
    </row>
    <row r="270" spans="1:14" x14ac:dyDescent="0.25">
      <c r="A270" s="7" t="s">
        <v>220</v>
      </c>
      <c r="B270" s="8">
        <f>47+7+5+11+11+51</f>
        <v>132</v>
      </c>
      <c r="C270" s="8">
        <v>0</v>
      </c>
      <c r="D270" s="8">
        <f>21+49+1</f>
        <v>71</v>
      </c>
      <c r="F270" s="8">
        <v>55</v>
      </c>
      <c r="G270" s="8">
        <v>5.3</v>
      </c>
      <c r="H270" s="8">
        <v>-6.1</v>
      </c>
      <c r="I270" s="8">
        <v>2</v>
      </c>
      <c r="J270" s="7">
        <v>12</v>
      </c>
      <c r="K270" s="7">
        <v>2010</v>
      </c>
      <c r="L270" s="7">
        <v>12</v>
      </c>
      <c r="M270" s="7" t="s">
        <v>170</v>
      </c>
      <c r="N270" t="str">
        <f t="shared" si="4"/>
        <v>BO.A</v>
      </c>
    </row>
    <row r="271" spans="1:14" x14ac:dyDescent="0.25">
      <c r="A271" s="7" t="s">
        <v>221</v>
      </c>
      <c r="B271" s="8">
        <f>59+26+33+3+15</f>
        <v>136</v>
      </c>
      <c r="C271" s="8">
        <v>0</v>
      </c>
      <c r="D271" s="8">
        <f>61</f>
        <v>61</v>
      </c>
      <c r="F271" s="8">
        <v>51</v>
      </c>
      <c r="G271" s="8">
        <v>-11.6</v>
      </c>
      <c r="H271" s="8">
        <v>-25</v>
      </c>
      <c r="I271" s="8">
        <f>1+20</f>
        <v>21</v>
      </c>
      <c r="J271" s="7">
        <v>12</v>
      </c>
      <c r="K271" s="7">
        <v>2010</v>
      </c>
      <c r="L271" s="7">
        <v>12</v>
      </c>
      <c r="M271" s="7" t="s">
        <v>170</v>
      </c>
      <c r="N271" t="str">
        <f t="shared" si="4"/>
        <v xml:space="preserve">CA. </v>
      </c>
    </row>
    <row r="272" spans="1:14" x14ac:dyDescent="0.25">
      <c r="A272" s="7" t="s">
        <v>222</v>
      </c>
      <c r="B272" s="8">
        <f>15+10+190+4+202+3584</f>
        <v>4005</v>
      </c>
      <c r="C272" s="8">
        <v>0</v>
      </c>
      <c r="D272" s="8">
        <f>33+24+1386+68+160</f>
        <v>1671</v>
      </c>
      <c r="F272" s="8">
        <v>1473</v>
      </c>
      <c r="G272" s="8">
        <v>136</v>
      </c>
      <c r="H272" s="8">
        <v>-38</v>
      </c>
      <c r="I272" s="8">
        <v>597</v>
      </c>
      <c r="J272" s="7">
        <v>12</v>
      </c>
      <c r="K272" s="7">
        <v>2010</v>
      </c>
      <c r="L272" s="7">
        <v>12</v>
      </c>
      <c r="M272" s="7" t="s">
        <v>170</v>
      </c>
      <c r="N272" t="str">
        <f t="shared" si="4"/>
        <v xml:space="preserve">GE. </v>
      </c>
    </row>
    <row r="273" spans="1:14" x14ac:dyDescent="0.25">
      <c r="A273" s="7" t="s">
        <v>226</v>
      </c>
      <c r="B273" s="8">
        <f>3+17+21+2</f>
        <v>43</v>
      </c>
      <c r="C273" s="8">
        <v>0</v>
      </c>
      <c r="D273" s="8">
        <f>1.8+1.7+5.5</f>
        <v>9</v>
      </c>
      <c r="F273" s="8">
        <v>1</v>
      </c>
      <c r="G273" s="8">
        <v>14.6</v>
      </c>
      <c r="H273" s="8">
        <v>15.3</v>
      </c>
      <c r="I273" s="8">
        <v>53</v>
      </c>
      <c r="J273" s="7">
        <v>12</v>
      </c>
      <c r="K273" s="7">
        <v>2010</v>
      </c>
      <c r="L273" s="7">
        <v>12</v>
      </c>
      <c r="M273" s="7" t="s">
        <v>170</v>
      </c>
      <c r="N273" t="str">
        <f t="shared" si="4"/>
        <v xml:space="preserve">GR. </v>
      </c>
    </row>
    <row r="274" spans="1:14" x14ac:dyDescent="0.25">
      <c r="A274" s="7" t="s">
        <v>223</v>
      </c>
      <c r="B274" s="8">
        <f>375+451+115+80+228+1060</f>
        <v>2309</v>
      </c>
      <c r="C274" s="8">
        <v>0</v>
      </c>
      <c r="D274" s="8">
        <f>221+63+476+399+506</f>
        <v>1665</v>
      </c>
      <c r="F274" s="8">
        <v>178</v>
      </c>
      <c r="G274" s="8">
        <v>234</v>
      </c>
      <c r="H274" s="8">
        <v>22</v>
      </c>
      <c r="I274" s="8">
        <v>1604</v>
      </c>
      <c r="J274" s="7">
        <v>12</v>
      </c>
      <c r="K274" s="7">
        <v>2010</v>
      </c>
      <c r="L274" s="7">
        <v>12</v>
      </c>
      <c r="M274" s="7" t="s">
        <v>170</v>
      </c>
      <c r="N274" t="str">
        <f t="shared" si="4"/>
        <v>IM.I</v>
      </c>
    </row>
    <row r="275" spans="1:14" x14ac:dyDescent="0.25">
      <c r="A275" s="7" t="s">
        <v>224</v>
      </c>
      <c r="B275" s="8">
        <f>612+622+146+41+59+443</f>
        <v>1923</v>
      </c>
      <c r="C275" s="8">
        <v>0</v>
      </c>
      <c r="D275" s="8">
        <f>5+153+317+127+411</f>
        <v>1013</v>
      </c>
      <c r="F275" s="8">
        <v>297</v>
      </c>
      <c r="G275" s="8">
        <v>173</v>
      </c>
      <c r="H275" s="8">
        <v>-17.8</v>
      </c>
      <c r="I275" s="8">
        <v>2719</v>
      </c>
      <c r="J275" s="7">
        <v>12</v>
      </c>
      <c r="K275" s="7">
        <v>2010</v>
      </c>
      <c r="L275" s="7">
        <v>12</v>
      </c>
      <c r="M275" s="7" t="s">
        <v>170</v>
      </c>
      <c r="N275" t="str">
        <f t="shared" si="4"/>
        <v>KM.P</v>
      </c>
    </row>
    <row r="276" spans="1:14" x14ac:dyDescent="0.25">
      <c r="A276" s="7" t="s">
        <v>225</v>
      </c>
      <c r="B276" s="8">
        <f>486+183+302+82+34</f>
        <v>1087</v>
      </c>
      <c r="C276" s="8">
        <v>2.8</v>
      </c>
      <c r="D276" s="8">
        <f>8+228</f>
        <v>236</v>
      </c>
      <c r="F276" s="8">
        <v>70</v>
      </c>
      <c r="G276" s="8">
        <v>317</v>
      </c>
      <c r="H276" s="8">
        <v>-38</v>
      </c>
      <c r="I276" s="8">
        <f>6+18+20</f>
        <v>44</v>
      </c>
      <c r="J276" s="7">
        <v>9</v>
      </c>
      <c r="K276" s="7">
        <v>2010</v>
      </c>
      <c r="L276" s="7">
        <v>12</v>
      </c>
      <c r="M276" s="7" t="s">
        <v>170</v>
      </c>
      <c r="N276" t="str">
        <f t="shared" si="4"/>
        <v xml:space="preserve">MI. </v>
      </c>
    </row>
    <row r="277" spans="1:14" x14ac:dyDescent="0.25">
      <c r="A277" s="7" t="s">
        <v>227</v>
      </c>
      <c r="B277" s="8">
        <f>141+53+109+2+5+120</f>
        <v>430</v>
      </c>
      <c r="C277" s="8">
        <v>0</v>
      </c>
      <c r="D277" s="8">
        <f>7+10+54+89+103</f>
        <v>263</v>
      </c>
      <c r="F277" s="8">
        <v>46</v>
      </c>
      <c r="G277" s="8">
        <v>91</v>
      </c>
      <c r="H277" s="8">
        <v>-8.4</v>
      </c>
      <c r="I277" s="8">
        <v>201</v>
      </c>
      <c r="J277" s="7">
        <v>12</v>
      </c>
      <c r="K277" s="7">
        <v>2010</v>
      </c>
      <c r="L277" s="7">
        <v>12</v>
      </c>
      <c r="M277" s="7" t="s">
        <v>170</v>
      </c>
      <c r="N277" t="str">
        <f t="shared" si="4"/>
        <v xml:space="preserve">RD. </v>
      </c>
    </row>
    <row r="278" spans="1:14" x14ac:dyDescent="0.25">
      <c r="A278" s="7" t="s">
        <v>228</v>
      </c>
      <c r="B278" s="8">
        <f>8+6+189+50+108</f>
        <v>361</v>
      </c>
      <c r="C278" s="8">
        <v>0</v>
      </c>
      <c r="D278" s="8">
        <f>1+15+10+41+36</f>
        <v>103</v>
      </c>
      <c r="F278" s="8">
        <v>4.5</v>
      </c>
      <c r="G278" s="8">
        <v>112</v>
      </c>
      <c r="H278" s="8">
        <v>21</v>
      </c>
      <c r="I278" s="8">
        <v>384</v>
      </c>
      <c r="J278" s="7">
        <v>12</v>
      </c>
      <c r="K278" s="7">
        <v>2010</v>
      </c>
      <c r="L278" s="7">
        <v>12</v>
      </c>
      <c r="M278" s="7" t="s">
        <v>170</v>
      </c>
      <c r="N278" t="str">
        <f t="shared" si="4"/>
        <v>RE.Y</v>
      </c>
    </row>
    <row r="279" spans="1:14" x14ac:dyDescent="0.25">
      <c r="A279" s="7" t="s">
        <v>215</v>
      </c>
      <c r="B279" s="8">
        <f>18+1911+5+3</f>
        <v>1937</v>
      </c>
      <c r="C279" s="8">
        <v>0</v>
      </c>
      <c r="D279" s="8">
        <f>4+4+13+9</f>
        <v>30</v>
      </c>
      <c r="F279" s="8">
        <v>28</v>
      </c>
      <c r="G279" s="8">
        <v>-7.7</v>
      </c>
      <c r="H279" s="8">
        <v>-9.3000000000000007</v>
      </c>
      <c r="I279" s="8">
        <v>35</v>
      </c>
      <c r="J279" s="7">
        <v>12</v>
      </c>
      <c r="K279" s="7">
        <v>2010</v>
      </c>
      <c r="L279" s="7">
        <v>12</v>
      </c>
      <c r="M279" s="7" t="s">
        <v>170</v>
      </c>
      <c r="N279" t="str">
        <f t="shared" si="4"/>
        <v xml:space="preserve">RI. </v>
      </c>
    </row>
    <row r="280" spans="1:14" x14ac:dyDescent="0.25">
      <c r="A280" s="7" t="s">
        <v>230</v>
      </c>
      <c r="B280" s="8">
        <f>7403+791+3550+105+930+2105</f>
        <v>14884</v>
      </c>
      <c r="C280" s="8">
        <v>0</v>
      </c>
      <c r="D280" s="8">
        <f>94+193+2887+1329+2698</f>
        <v>7201</v>
      </c>
      <c r="F280" s="8">
        <v>441</v>
      </c>
      <c r="G280" s="8">
        <v>2775</v>
      </c>
      <c r="H280" s="8">
        <v>894</v>
      </c>
      <c r="I280" s="8">
        <v>11160</v>
      </c>
      <c r="J280" s="7">
        <v>12</v>
      </c>
      <c r="K280" s="7">
        <v>2010</v>
      </c>
      <c r="L280" s="7">
        <v>12</v>
      </c>
      <c r="M280" s="7" t="s">
        <v>170</v>
      </c>
      <c r="N280" t="str">
        <f t="shared" si="4"/>
        <v>SA.M</v>
      </c>
    </row>
    <row r="281" spans="1:14" x14ac:dyDescent="0.25">
      <c r="A281" s="7" t="s">
        <v>229</v>
      </c>
      <c r="B281" s="8">
        <f>322+32+226+32+46</f>
        <v>658</v>
      </c>
      <c r="C281" s="8">
        <v>0</v>
      </c>
      <c r="D281" s="8">
        <f>11+9+151+44+69</f>
        <v>284</v>
      </c>
      <c r="F281" s="8">
        <v>47</v>
      </c>
      <c r="G281" s="8">
        <v>264</v>
      </c>
      <c r="H281" s="8">
        <v>33</v>
      </c>
      <c r="I281" s="8">
        <v>519</v>
      </c>
      <c r="J281" s="7">
        <v>12</v>
      </c>
      <c r="K281" s="7">
        <v>2010</v>
      </c>
      <c r="L281" s="7">
        <v>12</v>
      </c>
      <c r="M281" s="7" t="s">
        <v>170</v>
      </c>
      <c r="N281" t="str">
        <f t="shared" si="4"/>
        <v>SO.L</v>
      </c>
    </row>
    <row r="282" spans="1:14" x14ac:dyDescent="0.25">
      <c r="A282" s="7" t="s">
        <v>231</v>
      </c>
      <c r="B282" s="8">
        <f>74+74+32+8+204</f>
        <v>392</v>
      </c>
      <c r="C282" s="8">
        <v>0</v>
      </c>
      <c r="D282" s="8">
        <f>16+9+7+99+55</f>
        <v>186</v>
      </c>
      <c r="F282" s="8">
        <v>27</v>
      </c>
      <c r="G282" s="8">
        <v>112</v>
      </c>
      <c r="H282" s="8">
        <v>-4.0999999999999996</v>
      </c>
      <c r="I282" s="8">
        <v>246</v>
      </c>
      <c r="J282" s="7">
        <v>12</v>
      </c>
      <c r="K282" s="7">
        <v>2011</v>
      </c>
      <c r="L282" s="7">
        <v>12</v>
      </c>
      <c r="M282" s="7" t="s">
        <v>170</v>
      </c>
      <c r="N282" t="str">
        <f t="shared" si="4"/>
        <v>AE.E</v>
      </c>
    </row>
    <row r="283" spans="1:14" x14ac:dyDescent="0.25">
      <c r="A283" s="7" t="s">
        <v>232</v>
      </c>
      <c r="B283" s="8">
        <f>4+8+2+4+62</f>
        <v>80</v>
      </c>
      <c r="C283" s="8">
        <v>0</v>
      </c>
      <c r="D283" s="8">
        <f>3+11+12</f>
        <v>26</v>
      </c>
      <c r="F283" s="8">
        <v>9</v>
      </c>
      <c r="G283" s="8">
        <v>27</v>
      </c>
      <c r="H283" s="8">
        <v>3.3</v>
      </c>
      <c r="I283" s="8">
        <v>38</v>
      </c>
      <c r="J283" s="7">
        <v>12</v>
      </c>
      <c r="K283" s="7">
        <v>2011</v>
      </c>
      <c r="L283" s="7">
        <v>12</v>
      </c>
      <c r="M283" s="7" t="s">
        <v>170</v>
      </c>
      <c r="N283" t="str">
        <f t="shared" si="4"/>
        <v>AE.E</v>
      </c>
    </row>
    <row r="284" spans="1:14" x14ac:dyDescent="0.25">
      <c r="A284" s="7" t="s">
        <v>233</v>
      </c>
      <c r="B284" s="8">
        <f>91+35+105+1+108+810</f>
        <v>1150</v>
      </c>
      <c r="C284" s="8">
        <v>0</v>
      </c>
      <c r="D284" s="8">
        <f>11+402+50+97</f>
        <v>560</v>
      </c>
      <c r="F284" s="8">
        <v>4.4000000000000004</v>
      </c>
      <c r="G284" s="8">
        <v>343</v>
      </c>
      <c r="H284" s="8">
        <v>43</v>
      </c>
      <c r="I284" s="8">
        <v>827</v>
      </c>
      <c r="J284" s="7">
        <v>12</v>
      </c>
      <c r="K284" s="7">
        <v>2011</v>
      </c>
      <c r="L284" s="7">
        <v>12</v>
      </c>
      <c r="M284" s="7" t="s">
        <v>170</v>
      </c>
      <c r="N284" t="str">
        <f t="shared" si="4"/>
        <v>AM.N</v>
      </c>
    </row>
    <row r="285" spans="1:14" x14ac:dyDescent="0.25">
      <c r="A285" s="7" t="s">
        <v>234</v>
      </c>
      <c r="B285" s="8">
        <f>4330+5+214</f>
        <v>4549</v>
      </c>
      <c r="C285" s="8">
        <v>0</v>
      </c>
      <c r="D285" s="8">
        <f>4+4+169</f>
        <v>177</v>
      </c>
      <c r="E285" s="8">
        <v>4113</v>
      </c>
      <c r="F285" s="8">
        <v>112</v>
      </c>
      <c r="G285" s="8">
        <v>73</v>
      </c>
      <c r="H285" s="8">
        <v>77</v>
      </c>
      <c r="I285" s="8">
        <f>79+188</f>
        <v>267</v>
      </c>
      <c r="J285" s="7">
        <v>12</v>
      </c>
      <c r="K285" s="7">
        <v>2011</v>
      </c>
      <c r="L285" s="9">
        <v>12</v>
      </c>
      <c r="M285" s="7" t="s">
        <v>170</v>
      </c>
      <c r="N285" t="str">
        <f t="shared" si="4"/>
        <v>BA.I</v>
      </c>
    </row>
    <row r="286" spans="1:14" x14ac:dyDescent="0.25">
      <c r="A286" s="7" t="s">
        <v>188</v>
      </c>
      <c r="B286" s="8">
        <f>12748+341+379</f>
        <v>13468</v>
      </c>
      <c r="C286" s="8">
        <v>0</v>
      </c>
      <c r="D286" s="8">
        <f>55+78+370</f>
        <v>503</v>
      </c>
      <c r="E286" s="8">
        <v>11773</v>
      </c>
      <c r="F286" s="8">
        <v>155</v>
      </c>
      <c r="G286" s="8">
        <v>1008</v>
      </c>
      <c r="H286" s="8">
        <v>31</v>
      </c>
      <c r="I286" s="8">
        <f>479+139</f>
        <v>618</v>
      </c>
      <c r="J286" s="7">
        <v>12</v>
      </c>
      <c r="K286" s="7">
        <v>2011</v>
      </c>
      <c r="L286" s="7">
        <v>12</v>
      </c>
      <c r="M286" s="7" t="s">
        <v>170</v>
      </c>
      <c r="N286" t="str">
        <f t="shared" si="4"/>
        <v>BA.A</v>
      </c>
    </row>
    <row r="287" spans="1:14" x14ac:dyDescent="0.25">
      <c r="A287" s="10" t="s">
        <v>235</v>
      </c>
      <c r="B287" s="11">
        <f>992+211+322+378+429+1039</f>
        <v>3371</v>
      </c>
      <c r="C287" s="11">
        <v>0</v>
      </c>
      <c r="D287" s="13">
        <f>1228+51+182+39+308</f>
        <v>1808</v>
      </c>
      <c r="E287" s="12"/>
      <c r="F287" s="11">
        <v>120</v>
      </c>
      <c r="G287" s="11">
        <v>831</v>
      </c>
      <c r="H287" s="11">
        <v>-56</v>
      </c>
      <c r="I287" s="12">
        <v>1413</v>
      </c>
      <c r="J287" s="9">
        <v>12</v>
      </c>
      <c r="K287" s="9">
        <v>2011</v>
      </c>
      <c r="L287" s="9">
        <v>12</v>
      </c>
      <c r="M287" s="7" t="s">
        <v>170</v>
      </c>
      <c r="N287" t="str">
        <f t="shared" si="4"/>
        <v xml:space="preserve">CA. </v>
      </c>
    </row>
    <row r="288" spans="1:14" x14ac:dyDescent="0.25">
      <c r="A288" s="7" t="s">
        <v>236</v>
      </c>
      <c r="B288" s="8">
        <f>7+9+7+95</f>
        <v>118</v>
      </c>
      <c r="C288" s="8">
        <v>0</v>
      </c>
      <c r="D288" s="8">
        <f>18+16+14</f>
        <v>48</v>
      </c>
      <c r="F288" s="8">
        <v>2.7</v>
      </c>
      <c r="G288" s="8">
        <v>54</v>
      </c>
      <c r="H288" s="8">
        <v>-8.5</v>
      </c>
      <c r="I288" s="8">
        <v>80</v>
      </c>
      <c r="J288" s="7">
        <v>12</v>
      </c>
      <c r="K288" s="7">
        <v>2011</v>
      </c>
      <c r="L288" s="9">
        <v>12</v>
      </c>
      <c r="M288" s="7" t="s">
        <v>170</v>
      </c>
      <c r="N288" t="str">
        <f t="shared" si="4"/>
        <v>DA.A</v>
      </c>
    </row>
    <row r="289" spans="1:14" x14ac:dyDescent="0.25">
      <c r="A289" s="7" t="s">
        <v>207</v>
      </c>
      <c r="B289" s="8">
        <f>5123+252+3152+247+295+6533</f>
        <v>15602</v>
      </c>
      <c r="C289" s="8">
        <v>0</v>
      </c>
      <c r="D289" s="8">
        <f>158+36+3127+1225+2357</f>
        <v>6903</v>
      </c>
      <c r="F289" s="8">
        <v>5292</v>
      </c>
      <c r="G289" s="8">
        <v>2567</v>
      </c>
      <c r="H289" s="8">
        <v>-878</v>
      </c>
      <c r="I289" s="8">
        <v>11381</v>
      </c>
      <c r="J289" s="7">
        <v>12</v>
      </c>
      <c r="K289" s="7">
        <v>2011</v>
      </c>
      <c r="L289" s="7">
        <v>12</v>
      </c>
      <c r="M289" s="7" t="s">
        <v>170</v>
      </c>
      <c r="N289" t="str">
        <f t="shared" si="4"/>
        <v xml:space="preserve">ED. </v>
      </c>
    </row>
    <row r="290" spans="1:14" x14ac:dyDescent="0.25">
      <c r="A290" s="7" t="s">
        <v>238</v>
      </c>
      <c r="B290" s="8">
        <f>6+217+263+116+112</f>
        <v>714</v>
      </c>
      <c r="C290" s="8">
        <v>0</v>
      </c>
      <c r="D290" s="8">
        <f>4+36+49+370</f>
        <v>459</v>
      </c>
      <c r="F290" s="8">
        <v>7.8</v>
      </c>
      <c r="G290" s="8">
        <v>204</v>
      </c>
      <c r="H290" s="8">
        <v>8</v>
      </c>
      <c r="I290" s="8">
        <v>2096</v>
      </c>
      <c r="J290" s="7">
        <v>12</v>
      </c>
      <c r="K290" s="7">
        <v>2011</v>
      </c>
      <c r="L290" s="7">
        <v>12</v>
      </c>
      <c r="M290" s="7" t="s">
        <v>170</v>
      </c>
      <c r="N290" t="str">
        <f t="shared" si="4"/>
        <v xml:space="preserve">ES. </v>
      </c>
    </row>
    <row r="291" spans="1:14" x14ac:dyDescent="0.25">
      <c r="A291" s="7" t="s">
        <v>189</v>
      </c>
      <c r="B291" s="8">
        <f>5.6+7+3.2</f>
        <v>15.8</v>
      </c>
      <c r="C291" s="8">
        <v>0</v>
      </c>
      <c r="D291" s="8">
        <f>3+4+2.1</f>
        <v>9.1</v>
      </c>
      <c r="F291" s="8">
        <v>5.6</v>
      </c>
      <c r="G291" s="8">
        <v>-0.3</v>
      </c>
      <c r="H291" s="8">
        <v>-1</v>
      </c>
      <c r="I291" s="8">
        <v>10</v>
      </c>
      <c r="J291" s="7">
        <v>12</v>
      </c>
      <c r="K291" s="7">
        <v>2011</v>
      </c>
      <c r="L291" s="7">
        <v>12</v>
      </c>
      <c r="M291" s="7" t="s">
        <v>170</v>
      </c>
      <c r="N291" t="str">
        <f t="shared" si="4"/>
        <v>FU.X</v>
      </c>
    </row>
    <row r="292" spans="1:14" x14ac:dyDescent="0.25">
      <c r="A292" s="7" t="s">
        <v>237</v>
      </c>
      <c r="B292" s="8">
        <f>8356+2283</f>
        <v>10639</v>
      </c>
      <c r="C292" s="8">
        <v>0</v>
      </c>
      <c r="D292" s="8">
        <f>1+123</f>
        <v>124</v>
      </c>
      <c r="E292" s="8">
        <v>8743</v>
      </c>
      <c r="F292" s="8">
        <v>374</v>
      </c>
      <c r="G292" s="8">
        <v>1042</v>
      </c>
      <c r="H292" s="8">
        <v>-488</v>
      </c>
      <c r="I292" s="8">
        <f>3376+3503</f>
        <v>6879</v>
      </c>
      <c r="J292" s="7">
        <v>12</v>
      </c>
      <c r="K292" s="7">
        <v>2011</v>
      </c>
      <c r="L292" s="7">
        <v>12</v>
      </c>
      <c r="M292" s="7" t="s">
        <v>170</v>
      </c>
      <c r="N292" t="str">
        <f t="shared" si="4"/>
        <v xml:space="preserve">MI. </v>
      </c>
    </row>
    <row r="293" spans="1:14" x14ac:dyDescent="0.25">
      <c r="A293" s="7" t="s">
        <v>239</v>
      </c>
      <c r="B293" s="8">
        <f>40+14+7+5+97</f>
        <v>163</v>
      </c>
      <c r="C293" s="8">
        <v>0</v>
      </c>
      <c r="D293" s="8">
        <f>14.7+0.6</f>
        <v>15.299999999999999</v>
      </c>
      <c r="F293" s="8">
        <v>41</v>
      </c>
      <c r="G293" s="8">
        <v>-40</v>
      </c>
      <c r="H293" s="8">
        <v>10</v>
      </c>
      <c r="I293" s="8">
        <v>71</v>
      </c>
      <c r="J293" s="7">
        <v>6</v>
      </c>
      <c r="K293" s="7">
        <v>2011</v>
      </c>
      <c r="L293" s="7">
        <v>12</v>
      </c>
      <c r="M293" s="7" t="s">
        <v>170</v>
      </c>
      <c r="N293" t="str">
        <f t="shared" si="4"/>
        <v xml:space="preserve">SS. </v>
      </c>
    </row>
    <row r="294" spans="1:14" x14ac:dyDescent="0.25">
      <c r="A294" s="7" t="s">
        <v>240</v>
      </c>
      <c r="B294" s="8">
        <f>33181+6001</f>
        <v>39182</v>
      </c>
      <c r="C294" s="8">
        <v>0</v>
      </c>
      <c r="D294" s="8">
        <f>126+150</f>
        <v>276</v>
      </c>
      <c r="E294" s="8">
        <v>21643</v>
      </c>
      <c r="F294" s="8">
        <v>2699</v>
      </c>
      <c r="G294" s="8">
        <v>488</v>
      </c>
      <c r="H294" s="8">
        <v>-94</v>
      </c>
      <c r="I294" s="8">
        <f>8807+762</f>
        <v>9569</v>
      </c>
      <c r="J294" s="7">
        <v>12</v>
      </c>
      <c r="K294" s="7">
        <v>2011</v>
      </c>
      <c r="L294" s="7">
        <v>12</v>
      </c>
      <c r="M294" s="7" t="s">
        <v>170</v>
      </c>
      <c r="N294" t="str">
        <f t="shared" si="4"/>
        <v>UN.L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21" sqref="A21:XFD30"/>
    </sheetView>
  </sheetViews>
  <sheetFormatPr defaultRowHeight="15" x14ac:dyDescent="0.25"/>
  <sheetData>
    <row r="1" spans="1:2" x14ac:dyDescent="0.25">
      <c r="A1">
        <v>1977</v>
      </c>
      <c r="B1">
        <f>AVERAGEIF(Equity!K:K,A1,Equity!I:I)</f>
        <v>36.25</v>
      </c>
    </row>
    <row r="2" spans="1:2" x14ac:dyDescent="0.25">
      <c r="A2">
        <v>1978</v>
      </c>
      <c r="B2">
        <f>AVERAGEIF(Equity!K:K,A2,Equity!I:I)</f>
        <v>67.390909090909091</v>
      </c>
    </row>
    <row r="3" spans="1:2" x14ac:dyDescent="0.25">
      <c r="A3">
        <v>1979</v>
      </c>
      <c r="B3">
        <f>AVERAGEIF(Equity!K:K,A3,Equity!I:I)</f>
        <v>213.03750000000002</v>
      </c>
    </row>
    <row r="4" spans="1:2" x14ac:dyDescent="0.25">
      <c r="A4">
        <v>1980</v>
      </c>
      <c r="B4">
        <f>AVERAGEIF(Equity!K:K,A4,Equity!I:I)</f>
        <v>140.94</v>
      </c>
    </row>
    <row r="5" spans="1:2" x14ac:dyDescent="0.25">
      <c r="A5">
        <v>1981</v>
      </c>
      <c r="B5">
        <f>AVERAGEIF(Equity!K:K,A5,Equity!I:I)</f>
        <v>155.6888888888889</v>
      </c>
    </row>
    <row r="6" spans="1:2" x14ac:dyDescent="0.25">
      <c r="A6">
        <v>1982</v>
      </c>
      <c r="B6">
        <f>AVERAGEIF(Equity!K:K,A6,Equity!I:I)</f>
        <v>140.6</v>
      </c>
    </row>
    <row r="7" spans="1:2" x14ac:dyDescent="0.25">
      <c r="A7">
        <v>1983</v>
      </c>
      <c r="B7">
        <f>AVERAGEIF(Equity!K:K,A7,Equity!I:I)</f>
        <v>84.828571428571422</v>
      </c>
    </row>
    <row r="8" spans="1:2" x14ac:dyDescent="0.25">
      <c r="A8">
        <v>1984</v>
      </c>
      <c r="B8">
        <f>AVERAGEIF(Equity!K:K,A8,Equity!I:I)</f>
        <v>497.00833333333338</v>
      </c>
    </row>
    <row r="9" spans="1:2" x14ac:dyDescent="0.25">
      <c r="A9">
        <v>1985</v>
      </c>
      <c r="B9">
        <f>AVERAGEIF(Equity!K:K,A9,Equity!I:I)</f>
        <v>403.52727272727276</v>
      </c>
    </row>
    <row r="10" spans="1:2" x14ac:dyDescent="0.25">
      <c r="A10">
        <v>1986</v>
      </c>
      <c r="B10">
        <f>AVERAGEIF(Equity!K:K,A10,Equity!I:I)</f>
        <v>617.83333333333337</v>
      </c>
    </row>
    <row r="11" spans="1:2" x14ac:dyDescent="0.25">
      <c r="A11">
        <v>1987</v>
      </c>
      <c r="B11">
        <f>AVERAGEIF(Equity!K:K,A11,Equity!I:I)</f>
        <v>848.12857142857138</v>
      </c>
    </row>
    <row r="12" spans="1:2" x14ac:dyDescent="0.25">
      <c r="A12">
        <v>1988</v>
      </c>
      <c r="B12">
        <f>AVERAGEIF(Equity!K:K,A12,Equity!I:I)</f>
        <v>1140.2615384615385</v>
      </c>
    </row>
    <row r="13" spans="1:2" x14ac:dyDescent="0.25">
      <c r="A13">
        <v>1989</v>
      </c>
      <c r="B13">
        <f>AVERAGEIF(Equity!K:K,A13,Equity!I:I)</f>
        <v>264.9071428571429</v>
      </c>
    </row>
    <row r="14" spans="1:2" x14ac:dyDescent="0.25">
      <c r="A14">
        <v>1990</v>
      </c>
      <c r="B14">
        <f>AVERAGEIF(Equity!K:K,A14,Equity!I:I)</f>
        <v>265.81250000000006</v>
      </c>
    </row>
    <row r="15" spans="1:2" x14ac:dyDescent="0.25">
      <c r="A15">
        <v>1991</v>
      </c>
      <c r="B15">
        <f>AVERAGEIF(Equity!K:K,A15,Equity!I:I)</f>
        <v>1607.5</v>
      </c>
    </row>
    <row r="16" spans="1:2" x14ac:dyDescent="0.25">
      <c r="A16">
        <v>1992</v>
      </c>
      <c r="B16">
        <f>AVERAGEIF(Equity!K:K,A16,Equity!I:I)</f>
        <v>952.81000000000006</v>
      </c>
    </row>
    <row r="17" spans="1:2" x14ac:dyDescent="0.25">
      <c r="A17">
        <v>1993</v>
      </c>
      <c r="B17">
        <f>AVERAGEIF(Equity!K:K,A17,Equity!I:I)</f>
        <v>552.63750000000005</v>
      </c>
    </row>
    <row r="18" spans="1:2" x14ac:dyDescent="0.25">
      <c r="A18">
        <v>1994</v>
      </c>
      <c r="B18">
        <f>AVERAGEIF(Equity!K:K,A18,Equity!I:I)</f>
        <v>7767.363636363636</v>
      </c>
    </row>
    <row r="19" spans="1:2" x14ac:dyDescent="0.25">
      <c r="A19">
        <v>1995</v>
      </c>
      <c r="B19">
        <f>AVERAGEIF(Equity!K:K,A19,Equity!I:I)</f>
        <v>2278.6923076923076</v>
      </c>
    </row>
    <row r="20" spans="1:2" x14ac:dyDescent="0.25">
      <c r="A20">
        <v>1996</v>
      </c>
      <c r="B20">
        <f>AVERAGEIF(Equity!K:K,A20,Equity!I:I)</f>
        <v>611.4</v>
      </c>
    </row>
    <row r="21" spans="1:2" x14ac:dyDescent="0.25">
      <c r="A21">
        <v>2007</v>
      </c>
      <c r="B21">
        <f>AVERAGEIF(Equity!K:K,A21,Equity!I:I)</f>
        <v>1445.3733333333332</v>
      </c>
    </row>
    <row r="22" spans="1:2" x14ac:dyDescent="0.25">
      <c r="A22">
        <v>2008</v>
      </c>
      <c r="B22">
        <f>AVERAGEIF(Equity!K:K,A22,Equity!I:I)</f>
        <v>1454.6499999999999</v>
      </c>
    </row>
    <row r="23" spans="1:2" x14ac:dyDescent="0.25">
      <c r="A23">
        <v>2009</v>
      </c>
      <c r="B23">
        <f>AVERAGEIF(Equity!K:K,A23,Equity!I:I)</f>
        <v>6885.8722222222223</v>
      </c>
    </row>
    <row r="24" spans="1:2" x14ac:dyDescent="0.25">
      <c r="A24">
        <v>2010</v>
      </c>
      <c r="B24">
        <f>AVERAGEIF(Equity!K:K,A24,Equity!I:I)</f>
        <v>1674.25</v>
      </c>
    </row>
    <row r="25" spans="1:2" x14ac:dyDescent="0.25">
      <c r="A25">
        <v>2011</v>
      </c>
      <c r="B25">
        <f>AVERAGEIF(Equity!K:K,A25,Equity!I:I)</f>
        <v>2576.5384615384614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J6" sqref="J6"/>
    </sheetView>
  </sheetViews>
  <sheetFormatPr defaultRowHeight="15" x14ac:dyDescent="0.25"/>
  <cols>
    <col min="1" max="1" width="5.42578125" style="14" customWidth="1"/>
    <col min="2" max="21" width="5.140625" customWidth="1"/>
  </cols>
  <sheetData>
    <row r="1" spans="1:21" s="14" customFormat="1" x14ac:dyDescent="0.25">
      <c r="B1" s="14">
        <v>1</v>
      </c>
      <c r="C1" s="14">
        <v>2</v>
      </c>
      <c r="D1" s="14">
        <v>3</v>
      </c>
      <c r="E1" s="14">
        <v>4</v>
      </c>
      <c r="F1" s="14">
        <v>5</v>
      </c>
      <c r="G1" s="14">
        <v>6</v>
      </c>
      <c r="H1" s="14">
        <v>7</v>
      </c>
      <c r="I1" s="14">
        <v>8</v>
      </c>
      <c r="J1" s="14">
        <v>9</v>
      </c>
      <c r="K1" s="14">
        <v>10</v>
      </c>
      <c r="L1" s="14">
        <v>11</v>
      </c>
      <c r="M1" s="14">
        <v>12</v>
      </c>
      <c r="N1" s="14">
        <v>13</v>
      </c>
      <c r="O1" s="14">
        <v>14</v>
      </c>
      <c r="P1" s="14">
        <v>15</v>
      </c>
      <c r="Q1" s="14">
        <v>16</v>
      </c>
      <c r="R1" s="14">
        <v>17</v>
      </c>
      <c r="S1" s="14">
        <v>18</v>
      </c>
      <c r="T1" s="14">
        <v>19</v>
      </c>
      <c r="U1" s="14">
        <v>20</v>
      </c>
    </row>
    <row r="2" spans="1:21" x14ac:dyDescent="0.25">
      <c r="A2" s="14">
        <v>1</v>
      </c>
      <c r="B2">
        <f>B$1*$A2</f>
        <v>1</v>
      </c>
      <c r="C2">
        <f t="shared" ref="C2:U16" si="0">C$1*$A2</f>
        <v>2</v>
      </c>
      <c r="D2">
        <f t="shared" si="0"/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  <c r="L2">
        <f t="shared" si="0"/>
        <v>11</v>
      </c>
      <c r="M2">
        <f t="shared" si="0"/>
        <v>12</v>
      </c>
      <c r="N2">
        <f t="shared" si="0"/>
        <v>13</v>
      </c>
      <c r="O2">
        <f t="shared" si="0"/>
        <v>14</v>
      </c>
      <c r="P2">
        <f t="shared" si="0"/>
        <v>15</v>
      </c>
      <c r="Q2">
        <f t="shared" si="0"/>
        <v>16</v>
      </c>
      <c r="R2">
        <f t="shared" si="0"/>
        <v>17</v>
      </c>
      <c r="S2">
        <f t="shared" si="0"/>
        <v>18</v>
      </c>
      <c r="T2">
        <f t="shared" si="0"/>
        <v>19</v>
      </c>
      <c r="U2">
        <f t="shared" si="0"/>
        <v>20</v>
      </c>
    </row>
    <row r="3" spans="1:21" x14ac:dyDescent="0.25">
      <c r="A3" s="14">
        <v>2</v>
      </c>
      <c r="B3">
        <f t="shared" ref="B3:Q21" si="1">B$1*$A3</f>
        <v>2</v>
      </c>
      <c r="C3">
        <f t="shared" si="1"/>
        <v>4</v>
      </c>
      <c r="D3">
        <f t="shared" si="1"/>
        <v>6</v>
      </c>
      <c r="E3">
        <f t="shared" si="1"/>
        <v>8</v>
      </c>
      <c r="F3">
        <f t="shared" si="1"/>
        <v>10</v>
      </c>
      <c r="G3">
        <f t="shared" si="1"/>
        <v>12</v>
      </c>
      <c r="H3">
        <f t="shared" si="1"/>
        <v>14</v>
      </c>
      <c r="I3">
        <f t="shared" si="1"/>
        <v>16</v>
      </c>
      <c r="J3">
        <f t="shared" si="1"/>
        <v>18</v>
      </c>
      <c r="K3">
        <f t="shared" si="1"/>
        <v>20</v>
      </c>
      <c r="L3">
        <f t="shared" si="1"/>
        <v>22</v>
      </c>
      <c r="M3">
        <f t="shared" si="1"/>
        <v>24</v>
      </c>
      <c r="N3">
        <f t="shared" si="1"/>
        <v>26</v>
      </c>
      <c r="O3">
        <f t="shared" si="1"/>
        <v>28</v>
      </c>
      <c r="P3">
        <f t="shared" si="1"/>
        <v>30</v>
      </c>
      <c r="Q3">
        <f t="shared" si="1"/>
        <v>32</v>
      </c>
      <c r="R3">
        <f t="shared" si="0"/>
        <v>34</v>
      </c>
      <c r="S3">
        <f t="shared" si="0"/>
        <v>36</v>
      </c>
      <c r="T3">
        <f t="shared" si="0"/>
        <v>38</v>
      </c>
      <c r="U3">
        <f t="shared" si="0"/>
        <v>40</v>
      </c>
    </row>
    <row r="4" spans="1:21" x14ac:dyDescent="0.25">
      <c r="A4" s="14">
        <v>3</v>
      </c>
      <c r="B4">
        <f t="shared" si="1"/>
        <v>3</v>
      </c>
      <c r="C4">
        <f t="shared" si="0"/>
        <v>6</v>
      </c>
      <c r="D4">
        <f t="shared" si="0"/>
        <v>9</v>
      </c>
      <c r="E4">
        <f t="shared" si="0"/>
        <v>12</v>
      </c>
      <c r="F4">
        <f t="shared" si="0"/>
        <v>15</v>
      </c>
      <c r="G4">
        <f t="shared" si="0"/>
        <v>18</v>
      </c>
      <c r="H4">
        <f t="shared" si="0"/>
        <v>21</v>
      </c>
      <c r="I4">
        <f t="shared" si="0"/>
        <v>24</v>
      </c>
      <c r="J4">
        <f t="shared" si="0"/>
        <v>27</v>
      </c>
      <c r="K4">
        <f t="shared" si="0"/>
        <v>30</v>
      </c>
      <c r="L4">
        <f t="shared" si="0"/>
        <v>33</v>
      </c>
      <c r="M4">
        <f t="shared" si="0"/>
        <v>36</v>
      </c>
      <c r="N4">
        <f t="shared" si="0"/>
        <v>39</v>
      </c>
      <c r="O4">
        <f t="shared" si="0"/>
        <v>42</v>
      </c>
      <c r="P4">
        <f t="shared" si="0"/>
        <v>45</v>
      </c>
      <c r="Q4">
        <f t="shared" si="0"/>
        <v>48</v>
      </c>
      <c r="R4">
        <f t="shared" si="0"/>
        <v>51</v>
      </c>
      <c r="S4">
        <f t="shared" si="0"/>
        <v>54</v>
      </c>
      <c r="T4">
        <f t="shared" si="0"/>
        <v>57</v>
      </c>
      <c r="U4">
        <f t="shared" si="0"/>
        <v>60</v>
      </c>
    </row>
    <row r="5" spans="1:21" x14ac:dyDescent="0.25">
      <c r="A5" s="14">
        <v>4</v>
      </c>
      <c r="B5">
        <f t="shared" si="1"/>
        <v>4</v>
      </c>
      <c r="C5">
        <f t="shared" si="0"/>
        <v>8</v>
      </c>
      <c r="D5">
        <f t="shared" si="0"/>
        <v>12</v>
      </c>
      <c r="E5">
        <f t="shared" si="0"/>
        <v>16</v>
      </c>
      <c r="F5">
        <f t="shared" si="0"/>
        <v>20</v>
      </c>
      <c r="G5">
        <f t="shared" si="0"/>
        <v>24</v>
      </c>
      <c r="H5">
        <f t="shared" si="0"/>
        <v>28</v>
      </c>
      <c r="I5">
        <f t="shared" si="0"/>
        <v>32</v>
      </c>
      <c r="J5">
        <f t="shared" si="0"/>
        <v>36</v>
      </c>
      <c r="K5">
        <f t="shared" si="0"/>
        <v>40</v>
      </c>
      <c r="L5">
        <f t="shared" si="0"/>
        <v>44</v>
      </c>
      <c r="M5">
        <f t="shared" si="0"/>
        <v>48</v>
      </c>
      <c r="N5">
        <f t="shared" si="0"/>
        <v>52</v>
      </c>
      <c r="O5">
        <f t="shared" si="0"/>
        <v>56</v>
      </c>
      <c r="P5">
        <f t="shared" si="0"/>
        <v>60</v>
      </c>
      <c r="Q5">
        <f t="shared" si="0"/>
        <v>64</v>
      </c>
      <c r="R5">
        <f t="shared" si="0"/>
        <v>68</v>
      </c>
      <c r="S5">
        <f t="shared" si="0"/>
        <v>72</v>
      </c>
      <c r="T5">
        <f t="shared" si="0"/>
        <v>76</v>
      </c>
      <c r="U5">
        <f t="shared" si="0"/>
        <v>80</v>
      </c>
    </row>
    <row r="6" spans="1:21" x14ac:dyDescent="0.25">
      <c r="A6" s="14">
        <v>5</v>
      </c>
      <c r="B6">
        <f t="shared" si="1"/>
        <v>5</v>
      </c>
      <c r="C6">
        <f t="shared" si="0"/>
        <v>10</v>
      </c>
      <c r="D6">
        <f t="shared" si="0"/>
        <v>15</v>
      </c>
      <c r="E6">
        <f t="shared" si="0"/>
        <v>20</v>
      </c>
      <c r="F6">
        <f t="shared" si="0"/>
        <v>25</v>
      </c>
      <c r="G6">
        <f t="shared" si="0"/>
        <v>30</v>
      </c>
      <c r="H6">
        <f t="shared" si="0"/>
        <v>35</v>
      </c>
      <c r="I6">
        <f t="shared" si="0"/>
        <v>40</v>
      </c>
      <c r="J6">
        <f t="shared" si="0"/>
        <v>45</v>
      </c>
      <c r="K6">
        <f t="shared" si="0"/>
        <v>50</v>
      </c>
      <c r="L6">
        <f t="shared" si="0"/>
        <v>55</v>
      </c>
      <c r="M6">
        <f t="shared" si="0"/>
        <v>60</v>
      </c>
      <c r="N6">
        <f t="shared" si="0"/>
        <v>65</v>
      </c>
      <c r="O6">
        <f t="shared" si="0"/>
        <v>70</v>
      </c>
      <c r="P6">
        <f t="shared" si="0"/>
        <v>75</v>
      </c>
      <c r="Q6">
        <f t="shared" si="0"/>
        <v>80</v>
      </c>
      <c r="R6">
        <f t="shared" si="0"/>
        <v>85</v>
      </c>
      <c r="S6">
        <f t="shared" si="0"/>
        <v>90</v>
      </c>
      <c r="T6">
        <f t="shared" si="0"/>
        <v>95</v>
      </c>
      <c r="U6">
        <f t="shared" si="0"/>
        <v>100</v>
      </c>
    </row>
    <row r="7" spans="1:21" x14ac:dyDescent="0.25">
      <c r="A7" s="14">
        <v>6</v>
      </c>
      <c r="B7">
        <f t="shared" si="1"/>
        <v>6</v>
      </c>
      <c r="C7">
        <f t="shared" si="0"/>
        <v>12</v>
      </c>
      <c r="D7">
        <f t="shared" si="0"/>
        <v>18</v>
      </c>
      <c r="E7">
        <f t="shared" si="0"/>
        <v>24</v>
      </c>
      <c r="F7">
        <f t="shared" si="0"/>
        <v>30</v>
      </c>
      <c r="G7">
        <f t="shared" si="0"/>
        <v>36</v>
      </c>
      <c r="H7">
        <f t="shared" si="0"/>
        <v>42</v>
      </c>
      <c r="I7">
        <f t="shared" si="0"/>
        <v>48</v>
      </c>
      <c r="J7">
        <f t="shared" si="0"/>
        <v>54</v>
      </c>
      <c r="K7">
        <f t="shared" si="0"/>
        <v>60</v>
      </c>
      <c r="L7">
        <f t="shared" si="0"/>
        <v>66</v>
      </c>
      <c r="M7">
        <f t="shared" si="0"/>
        <v>72</v>
      </c>
      <c r="N7">
        <f t="shared" si="0"/>
        <v>78</v>
      </c>
      <c r="O7">
        <f t="shared" si="0"/>
        <v>84</v>
      </c>
      <c r="P7">
        <f t="shared" si="0"/>
        <v>90</v>
      </c>
      <c r="Q7">
        <f t="shared" si="0"/>
        <v>96</v>
      </c>
      <c r="R7">
        <f t="shared" si="0"/>
        <v>102</v>
      </c>
      <c r="S7">
        <f t="shared" si="0"/>
        <v>108</v>
      </c>
      <c r="T7">
        <f t="shared" si="0"/>
        <v>114</v>
      </c>
      <c r="U7">
        <f t="shared" si="0"/>
        <v>120</v>
      </c>
    </row>
    <row r="8" spans="1:21" x14ac:dyDescent="0.25">
      <c r="A8" s="14">
        <v>7</v>
      </c>
      <c r="B8">
        <f t="shared" si="1"/>
        <v>7</v>
      </c>
      <c r="C8">
        <f t="shared" si="0"/>
        <v>14</v>
      </c>
      <c r="D8">
        <f t="shared" si="0"/>
        <v>21</v>
      </c>
      <c r="E8">
        <f t="shared" si="0"/>
        <v>28</v>
      </c>
      <c r="F8">
        <f t="shared" si="0"/>
        <v>35</v>
      </c>
      <c r="G8">
        <f t="shared" si="0"/>
        <v>42</v>
      </c>
      <c r="H8">
        <f t="shared" si="0"/>
        <v>49</v>
      </c>
      <c r="I8">
        <f t="shared" si="0"/>
        <v>56</v>
      </c>
      <c r="J8">
        <f t="shared" si="0"/>
        <v>63</v>
      </c>
      <c r="K8">
        <f t="shared" si="0"/>
        <v>70</v>
      </c>
      <c r="L8">
        <f t="shared" si="0"/>
        <v>77</v>
      </c>
      <c r="M8">
        <f t="shared" si="0"/>
        <v>84</v>
      </c>
      <c r="N8">
        <f t="shared" si="0"/>
        <v>91</v>
      </c>
      <c r="O8">
        <f t="shared" si="0"/>
        <v>98</v>
      </c>
      <c r="P8">
        <f t="shared" si="0"/>
        <v>105</v>
      </c>
      <c r="Q8">
        <f t="shared" si="0"/>
        <v>112</v>
      </c>
      <c r="R8">
        <f t="shared" si="0"/>
        <v>119</v>
      </c>
      <c r="S8">
        <f t="shared" si="0"/>
        <v>126</v>
      </c>
      <c r="T8">
        <f t="shared" si="0"/>
        <v>133</v>
      </c>
      <c r="U8">
        <f t="shared" si="0"/>
        <v>140</v>
      </c>
    </row>
    <row r="9" spans="1:21" x14ac:dyDescent="0.25">
      <c r="A9" s="14">
        <v>8</v>
      </c>
      <c r="B9">
        <f t="shared" si="1"/>
        <v>8</v>
      </c>
      <c r="C9">
        <f t="shared" si="0"/>
        <v>16</v>
      </c>
      <c r="D9">
        <f t="shared" si="0"/>
        <v>24</v>
      </c>
      <c r="E9">
        <f t="shared" si="0"/>
        <v>32</v>
      </c>
      <c r="F9">
        <f t="shared" si="0"/>
        <v>40</v>
      </c>
      <c r="G9">
        <f t="shared" si="0"/>
        <v>48</v>
      </c>
      <c r="H9">
        <f t="shared" si="0"/>
        <v>56</v>
      </c>
      <c r="I9">
        <f t="shared" si="0"/>
        <v>64</v>
      </c>
      <c r="J9">
        <f t="shared" si="0"/>
        <v>72</v>
      </c>
      <c r="K9">
        <f t="shared" si="0"/>
        <v>80</v>
      </c>
      <c r="L9">
        <f t="shared" si="0"/>
        <v>88</v>
      </c>
      <c r="M9">
        <f t="shared" si="0"/>
        <v>96</v>
      </c>
      <c r="N9">
        <f t="shared" si="0"/>
        <v>104</v>
      </c>
      <c r="O9">
        <f t="shared" si="0"/>
        <v>112</v>
      </c>
      <c r="P9">
        <f t="shared" si="0"/>
        <v>120</v>
      </c>
      <c r="Q9">
        <f t="shared" si="0"/>
        <v>128</v>
      </c>
      <c r="R9">
        <f t="shared" si="0"/>
        <v>136</v>
      </c>
      <c r="S9">
        <f t="shared" si="0"/>
        <v>144</v>
      </c>
      <c r="T9">
        <f t="shared" si="0"/>
        <v>152</v>
      </c>
      <c r="U9">
        <f t="shared" si="0"/>
        <v>160</v>
      </c>
    </row>
    <row r="10" spans="1:21" x14ac:dyDescent="0.25">
      <c r="A10" s="14">
        <v>9</v>
      </c>
      <c r="B10">
        <f t="shared" si="1"/>
        <v>9</v>
      </c>
      <c r="C10">
        <f t="shared" si="0"/>
        <v>18</v>
      </c>
      <c r="D10">
        <f t="shared" si="0"/>
        <v>27</v>
      </c>
      <c r="E10">
        <f t="shared" si="0"/>
        <v>36</v>
      </c>
      <c r="F10">
        <f t="shared" si="0"/>
        <v>45</v>
      </c>
      <c r="G10">
        <f t="shared" si="0"/>
        <v>54</v>
      </c>
      <c r="H10">
        <f t="shared" si="0"/>
        <v>63</v>
      </c>
      <c r="I10">
        <f t="shared" si="0"/>
        <v>72</v>
      </c>
      <c r="J10">
        <f t="shared" si="0"/>
        <v>81</v>
      </c>
      <c r="K10">
        <f t="shared" si="0"/>
        <v>90</v>
      </c>
      <c r="L10">
        <f t="shared" si="0"/>
        <v>99</v>
      </c>
      <c r="M10">
        <f t="shared" si="0"/>
        <v>108</v>
      </c>
      <c r="N10">
        <f t="shared" si="0"/>
        <v>117</v>
      </c>
      <c r="O10">
        <f t="shared" si="0"/>
        <v>126</v>
      </c>
      <c r="P10">
        <f t="shared" si="0"/>
        <v>135</v>
      </c>
      <c r="Q10">
        <f t="shared" si="0"/>
        <v>144</v>
      </c>
      <c r="R10">
        <f t="shared" si="0"/>
        <v>153</v>
      </c>
      <c r="S10">
        <f t="shared" si="0"/>
        <v>162</v>
      </c>
      <c r="T10">
        <f t="shared" si="0"/>
        <v>171</v>
      </c>
      <c r="U10">
        <f t="shared" si="0"/>
        <v>180</v>
      </c>
    </row>
    <row r="11" spans="1:21" x14ac:dyDescent="0.25">
      <c r="A11" s="14">
        <v>10</v>
      </c>
      <c r="B11">
        <f t="shared" si="1"/>
        <v>10</v>
      </c>
      <c r="C11">
        <f t="shared" si="0"/>
        <v>20</v>
      </c>
      <c r="D11">
        <f t="shared" si="0"/>
        <v>30</v>
      </c>
      <c r="E11">
        <f t="shared" si="0"/>
        <v>40</v>
      </c>
      <c r="F11">
        <f t="shared" si="0"/>
        <v>50</v>
      </c>
      <c r="G11">
        <f t="shared" si="0"/>
        <v>60</v>
      </c>
      <c r="H11">
        <f t="shared" si="0"/>
        <v>70</v>
      </c>
      <c r="I11">
        <f t="shared" si="0"/>
        <v>80</v>
      </c>
      <c r="J11">
        <f t="shared" si="0"/>
        <v>90</v>
      </c>
      <c r="K11">
        <f t="shared" si="0"/>
        <v>100</v>
      </c>
      <c r="L11">
        <f t="shared" si="0"/>
        <v>110</v>
      </c>
      <c r="M11">
        <f t="shared" si="0"/>
        <v>120</v>
      </c>
      <c r="N11">
        <f t="shared" si="0"/>
        <v>130</v>
      </c>
      <c r="O11">
        <f t="shared" si="0"/>
        <v>140</v>
      </c>
      <c r="P11">
        <f t="shared" si="0"/>
        <v>150</v>
      </c>
      <c r="Q11">
        <f t="shared" si="0"/>
        <v>160</v>
      </c>
      <c r="R11">
        <f t="shared" si="0"/>
        <v>170</v>
      </c>
      <c r="S11">
        <f t="shared" si="0"/>
        <v>180</v>
      </c>
      <c r="T11">
        <f t="shared" si="0"/>
        <v>190</v>
      </c>
      <c r="U11">
        <f t="shared" si="0"/>
        <v>200</v>
      </c>
    </row>
    <row r="12" spans="1:21" x14ac:dyDescent="0.25">
      <c r="A12" s="14">
        <v>11</v>
      </c>
      <c r="B12">
        <f t="shared" si="1"/>
        <v>11</v>
      </c>
      <c r="C12">
        <f t="shared" si="0"/>
        <v>22</v>
      </c>
      <c r="D12">
        <f t="shared" si="0"/>
        <v>33</v>
      </c>
      <c r="E12">
        <f t="shared" si="0"/>
        <v>44</v>
      </c>
      <c r="F12">
        <f t="shared" si="0"/>
        <v>55</v>
      </c>
      <c r="G12">
        <f t="shared" si="0"/>
        <v>66</v>
      </c>
      <c r="H12">
        <f t="shared" si="0"/>
        <v>77</v>
      </c>
      <c r="I12">
        <f t="shared" si="0"/>
        <v>88</v>
      </c>
      <c r="J12">
        <f t="shared" si="0"/>
        <v>99</v>
      </c>
      <c r="K12">
        <f t="shared" si="0"/>
        <v>110</v>
      </c>
      <c r="L12">
        <f t="shared" si="0"/>
        <v>121</v>
      </c>
      <c r="M12">
        <f t="shared" si="0"/>
        <v>132</v>
      </c>
      <c r="N12">
        <f t="shared" si="0"/>
        <v>143</v>
      </c>
      <c r="O12">
        <f t="shared" si="0"/>
        <v>154</v>
      </c>
      <c r="P12">
        <f t="shared" si="0"/>
        <v>165</v>
      </c>
      <c r="Q12">
        <f t="shared" si="0"/>
        <v>176</v>
      </c>
      <c r="R12">
        <f t="shared" si="0"/>
        <v>187</v>
      </c>
      <c r="S12">
        <f t="shared" si="0"/>
        <v>198</v>
      </c>
      <c r="T12">
        <f t="shared" si="0"/>
        <v>209</v>
      </c>
      <c r="U12">
        <f t="shared" si="0"/>
        <v>220</v>
      </c>
    </row>
    <row r="13" spans="1:21" x14ac:dyDescent="0.25">
      <c r="A13" s="14">
        <v>12</v>
      </c>
      <c r="B13">
        <f t="shared" si="1"/>
        <v>12</v>
      </c>
      <c r="C13">
        <f t="shared" si="0"/>
        <v>24</v>
      </c>
      <c r="D13">
        <f t="shared" si="0"/>
        <v>36</v>
      </c>
      <c r="E13">
        <f t="shared" si="0"/>
        <v>48</v>
      </c>
      <c r="F13">
        <f t="shared" si="0"/>
        <v>60</v>
      </c>
      <c r="G13">
        <f t="shared" si="0"/>
        <v>72</v>
      </c>
      <c r="H13">
        <f t="shared" si="0"/>
        <v>84</v>
      </c>
      <c r="I13">
        <f t="shared" si="0"/>
        <v>96</v>
      </c>
      <c r="J13">
        <f t="shared" si="0"/>
        <v>108</v>
      </c>
      <c r="K13">
        <f t="shared" si="0"/>
        <v>120</v>
      </c>
      <c r="L13">
        <f t="shared" si="0"/>
        <v>132</v>
      </c>
      <c r="M13">
        <f t="shared" si="0"/>
        <v>144</v>
      </c>
      <c r="N13">
        <f t="shared" si="0"/>
        <v>156</v>
      </c>
      <c r="O13">
        <f t="shared" si="0"/>
        <v>168</v>
      </c>
      <c r="P13">
        <f t="shared" si="0"/>
        <v>180</v>
      </c>
      <c r="Q13">
        <f t="shared" si="0"/>
        <v>192</v>
      </c>
      <c r="R13">
        <f t="shared" si="0"/>
        <v>204</v>
      </c>
      <c r="S13">
        <f t="shared" si="0"/>
        <v>216</v>
      </c>
      <c r="T13">
        <f t="shared" si="0"/>
        <v>228</v>
      </c>
      <c r="U13">
        <f t="shared" si="0"/>
        <v>240</v>
      </c>
    </row>
    <row r="14" spans="1:21" x14ac:dyDescent="0.25">
      <c r="A14" s="14">
        <v>13</v>
      </c>
      <c r="B14">
        <f t="shared" si="1"/>
        <v>13</v>
      </c>
      <c r="C14">
        <f t="shared" si="0"/>
        <v>26</v>
      </c>
      <c r="D14">
        <f t="shared" si="0"/>
        <v>39</v>
      </c>
      <c r="E14">
        <f t="shared" si="0"/>
        <v>52</v>
      </c>
      <c r="F14">
        <f t="shared" si="0"/>
        <v>65</v>
      </c>
      <c r="G14">
        <f t="shared" si="0"/>
        <v>78</v>
      </c>
      <c r="H14">
        <f t="shared" si="0"/>
        <v>91</v>
      </c>
      <c r="I14">
        <f t="shared" si="0"/>
        <v>104</v>
      </c>
      <c r="J14">
        <f t="shared" si="0"/>
        <v>117</v>
      </c>
      <c r="K14">
        <f t="shared" si="0"/>
        <v>130</v>
      </c>
      <c r="L14">
        <f t="shared" si="0"/>
        <v>143</v>
      </c>
      <c r="M14">
        <f t="shared" si="0"/>
        <v>156</v>
      </c>
      <c r="N14">
        <f t="shared" si="0"/>
        <v>169</v>
      </c>
      <c r="O14">
        <f t="shared" si="0"/>
        <v>182</v>
      </c>
      <c r="P14">
        <f t="shared" si="0"/>
        <v>195</v>
      </c>
      <c r="Q14">
        <f t="shared" si="0"/>
        <v>208</v>
      </c>
      <c r="R14">
        <f t="shared" si="0"/>
        <v>221</v>
      </c>
      <c r="S14">
        <f t="shared" si="0"/>
        <v>234</v>
      </c>
      <c r="T14">
        <f t="shared" si="0"/>
        <v>247</v>
      </c>
      <c r="U14">
        <f t="shared" si="0"/>
        <v>260</v>
      </c>
    </row>
    <row r="15" spans="1:21" x14ac:dyDescent="0.25">
      <c r="A15" s="14">
        <v>14</v>
      </c>
      <c r="B15">
        <f t="shared" si="1"/>
        <v>14</v>
      </c>
      <c r="C15">
        <f t="shared" si="0"/>
        <v>28</v>
      </c>
      <c r="D15">
        <f t="shared" si="0"/>
        <v>42</v>
      </c>
      <c r="E15">
        <f t="shared" si="0"/>
        <v>56</v>
      </c>
      <c r="F15">
        <f t="shared" si="0"/>
        <v>70</v>
      </c>
      <c r="G15">
        <f t="shared" si="0"/>
        <v>84</v>
      </c>
      <c r="H15">
        <f t="shared" si="0"/>
        <v>98</v>
      </c>
      <c r="I15">
        <f t="shared" si="0"/>
        <v>112</v>
      </c>
      <c r="J15">
        <f t="shared" si="0"/>
        <v>126</v>
      </c>
      <c r="K15">
        <f t="shared" si="0"/>
        <v>140</v>
      </c>
      <c r="L15">
        <f t="shared" si="0"/>
        <v>154</v>
      </c>
      <c r="M15">
        <f t="shared" si="0"/>
        <v>168</v>
      </c>
      <c r="N15">
        <f t="shared" si="0"/>
        <v>182</v>
      </c>
      <c r="O15">
        <f t="shared" si="0"/>
        <v>196</v>
      </c>
      <c r="P15">
        <f t="shared" si="0"/>
        <v>210</v>
      </c>
      <c r="Q15">
        <f t="shared" si="0"/>
        <v>224</v>
      </c>
      <c r="R15">
        <f t="shared" si="0"/>
        <v>238</v>
      </c>
      <c r="S15">
        <f t="shared" si="0"/>
        <v>252</v>
      </c>
      <c r="T15">
        <f t="shared" si="0"/>
        <v>266</v>
      </c>
      <c r="U15">
        <f t="shared" si="0"/>
        <v>280</v>
      </c>
    </row>
    <row r="16" spans="1:21" x14ac:dyDescent="0.25">
      <c r="A16" s="14">
        <v>15</v>
      </c>
      <c r="B16">
        <f t="shared" si="1"/>
        <v>15</v>
      </c>
      <c r="C16">
        <f t="shared" si="0"/>
        <v>30</v>
      </c>
      <c r="D16">
        <f t="shared" si="0"/>
        <v>45</v>
      </c>
      <c r="E16">
        <f t="shared" si="0"/>
        <v>60</v>
      </c>
      <c r="F16">
        <f t="shared" si="0"/>
        <v>75</v>
      </c>
      <c r="G16">
        <f t="shared" ref="C16:U21" si="2">G$1*$A16</f>
        <v>90</v>
      </c>
      <c r="H16">
        <f t="shared" si="2"/>
        <v>105</v>
      </c>
      <c r="I16">
        <f t="shared" si="2"/>
        <v>120</v>
      </c>
      <c r="J16">
        <f t="shared" si="2"/>
        <v>135</v>
      </c>
      <c r="K16">
        <f t="shared" si="2"/>
        <v>150</v>
      </c>
      <c r="L16">
        <f t="shared" si="2"/>
        <v>165</v>
      </c>
      <c r="M16">
        <f t="shared" si="2"/>
        <v>180</v>
      </c>
      <c r="N16">
        <f t="shared" si="2"/>
        <v>195</v>
      </c>
      <c r="O16">
        <f t="shared" si="2"/>
        <v>210</v>
      </c>
      <c r="P16">
        <f t="shared" si="2"/>
        <v>225</v>
      </c>
      <c r="Q16">
        <f t="shared" si="2"/>
        <v>240</v>
      </c>
      <c r="R16">
        <f t="shared" si="2"/>
        <v>255</v>
      </c>
      <c r="S16">
        <f t="shared" si="2"/>
        <v>270</v>
      </c>
      <c r="T16">
        <f t="shared" si="2"/>
        <v>285</v>
      </c>
      <c r="U16">
        <f t="shared" si="2"/>
        <v>300</v>
      </c>
    </row>
    <row r="17" spans="1:21" x14ac:dyDescent="0.25">
      <c r="A17" s="14">
        <v>16</v>
      </c>
      <c r="B17">
        <f t="shared" si="1"/>
        <v>16</v>
      </c>
      <c r="C17">
        <f t="shared" si="2"/>
        <v>32</v>
      </c>
      <c r="D17">
        <f t="shared" si="2"/>
        <v>48</v>
      </c>
      <c r="E17">
        <f t="shared" si="2"/>
        <v>64</v>
      </c>
      <c r="F17">
        <f t="shared" si="2"/>
        <v>80</v>
      </c>
      <c r="G17">
        <f t="shared" si="2"/>
        <v>96</v>
      </c>
      <c r="H17">
        <f t="shared" si="2"/>
        <v>112</v>
      </c>
      <c r="I17">
        <f t="shared" si="2"/>
        <v>128</v>
      </c>
      <c r="J17">
        <f t="shared" si="2"/>
        <v>144</v>
      </c>
      <c r="K17">
        <f t="shared" si="2"/>
        <v>160</v>
      </c>
      <c r="L17">
        <f t="shared" si="2"/>
        <v>176</v>
      </c>
      <c r="M17">
        <f t="shared" si="2"/>
        <v>192</v>
      </c>
      <c r="N17">
        <f t="shared" si="2"/>
        <v>208</v>
      </c>
      <c r="O17">
        <f t="shared" si="2"/>
        <v>224</v>
      </c>
      <c r="P17">
        <f t="shared" si="2"/>
        <v>240</v>
      </c>
      <c r="Q17">
        <f t="shared" si="2"/>
        <v>256</v>
      </c>
      <c r="R17">
        <f t="shared" si="2"/>
        <v>272</v>
      </c>
      <c r="S17">
        <f t="shared" si="2"/>
        <v>288</v>
      </c>
      <c r="T17">
        <f t="shared" si="2"/>
        <v>304</v>
      </c>
      <c r="U17">
        <f t="shared" si="2"/>
        <v>320</v>
      </c>
    </row>
    <row r="18" spans="1:21" x14ac:dyDescent="0.25">
      <c r="A18" s="14">
        <v>17</v>
      </c>
      <c r="B18">
        <f t="shared" si="1"/>
        <v>17</v>
      </c>
      <c r="C18">
        <f t="shared" si="2"/>
        <v>34</v>
      </c>
      <c r="D18">
        <f t="shared" si="2"/>
        <v>51</v>
      </c>
      <c r="E18">
        <f t="shared" si="2"/>
        <v>68</v>
      </c>
      <c r="F18">
        <f t="shared" si="2"/>
        <v>85</v>
      </c>
      <c r="G18">
        <f t="shared" si="2"/>
        <v>102</v>
      </c>
      <c r="H18">
        <f t="shared" si="2"/>
        <v>119</v>
      </c>
      <c r="I18">
        <f t="shared" si="2"/>
        <v>136</v>
      </c>
      <c r="J18">
        <f t="shared" si="2"/>
        <v>153</v>
      </c>
      <c r="K18">
        <f t="shared" si="2"/>
        <v>170</v>
      </c>
      <c r="L18">
        <f t="shared" si="2"/>
        <v>187</v>
      </c>
      <c r="M18">
        <f t="shared" si="2"/>
        <v>204</v>
      </c>
      <c r="N18">
        <f t="shared" si="2"/>
        <v>221</v>
      </c>
      <c r="O18">
        <f t="shared" si="2"/>
        <v>238</v>
      </c>
      <c r="P18">
        <f t="shared" si="2"/>
        <v>255</v>
      </c>
      <c r="Q18">
        <f t="shared" si="2"/>
        <v>272</v>
      </c>
      <c r="R18">
        <f t="shared" si="2"/>
        <v>289</v>
      </c>
      <c r="S18">
        <f t="shared" si="2"/>
        <v>306</v>
      </c>
      <c r="T18">
        <f t="shared" si="2"/>
        <v>323</v>
      </c>
      <c r="U18">
        <f t="shared" si="2"/>
        <v>340</v>
      </c>
    </row>
    <row r="19" spans="1:21" x14ac:dyDescent="0.25">
      <c r="A19" s="14">
        <v>18</v>
      </c>
      <c r="B19">
        <f t="shared" si="1"/>
        <v>18</v>
      </c>
      <c r="C19">
        <f t="shared" si="2"/>
        <v>36</v>
      </c>
      <c r="D19">
        <f t="shared" si="2"/>
        <v>54</v>
      </c>
      <c r="E19">
        <f t="shared" si="2"/>
        <v>72</v>
      </c>
      <c r="F19">
        <f t="shared" si="2"/>
        <v>90</v>
      </c>
      <c r="G19">
        <f t="shared" si="2"/>
        <v>108</v>
      </c>
      <c r="H19">
        <f t="shared" si="2"/>
        <v>126</v>
      </c>
      <c r="I19">
        <f t="shared" si="2"/>
        <v>144</v>
      </c>
      <c r="J19">
        <f t="shared" si="2"/>
        <v>162</v>
      </c>
      <c r="K19">
        <f t="shared" si="2"/>
        <v>180</v>
      </c>
      <c r="L19">
        <f t="shared" si="2"/>
        <v>198</v>
      </c>
      <c r="M19">
        <f t="shared" si="2"/>
        <v>216</v>
      </c>
      <c r="N19">
        <f t="shared" si="2"/>
        <v>234</v>
      </c>
      <c r="O19">
        <f t="shared" si="2"/>
        <v>252</v>
      </c>
      <c r="P19">
        <f t="shared" si="2"/>
        <v>270</v>
      </c>
      <c r="Q19">
        <f t="shared" si="2"/>
        <v>288</v>
      </c>
      <c r="R19">
        <f t="shared" si="2"/>
        <v>306</v>
      </c>
      <c r="S19">
        <f t="shared" si="2"/>
        <v>324</v>
      </c>
      <c r="T19">
        <f t="shared" si="2"/>
        <v>342</v>
      </c>
      <c r="U19">
        <f t="shared" si="2"/>
        <v>360</v>
      </c>
    </row>
    <row r="20" spans="1:21" x14ac:dyDescent="0.25">
      <c r="A20" s="14">
        <v>19</v>
      </c>
      <c r="B20">
        <f t="shared" si="1"/>
        <v>19</v>
      </c>
      <c r="C20">
        <f t="shared" si="2"/>
        <v>38</v>
      </c>
      <c r="D20">
        <f t="shared" si="2"/>
        <v>57</v>
      </c>
      <c r="E20">
        <f t="shared" si="2"/>
        <v>76</v>
      </c>
      <c r="F20">
        <f t="shared" si="2"/>
        <v>95</v>
      </c>
      <c r="G20">
        <f t="shared" si="2"/>
        <v>114</v>
      </c>
      <c r="H20">
        <f t="shared" si="2"/>
        <v>133</v>
      </c>
      <c r="I20">
        <f t="shared" si="2"/>
        <v>152</v>
      </c>
      <c r="J20">
        <f t="shared" si="2"/>
        <v>171</v>
      </c>
      <c r="K20">
        <f t="shared" si="2"/>
        <v>190</v>
      </c>
      <c r="L20">
        <f t="shared" si="2"/>
        <v>209</v>
      </c>
      <c r="M20">
        <f t="shared" si="2"/>
        <v>228</v>
      </c>
      <c r="N20">
        <f t="shared" si="2"/>
        <v>247</v>
      </c>
      <c r="O20">
        <f t="shared" si="2"/>
        <v>266</v>
      </c>
      <c r="P20">
        <f t="shared" si="2"/>
        <v>285</v>
      </c>
      <c r="Q20">
        <f t="shared" si="2"/>
        <v>304</v>
      </c>
      <c r="R20">
        <f t="shared" si="2"/>
        <v>323</v>
      </c>
      <c r="S20">
        <f t="shared" si="2"/>
        <v>342</v>
      </c>
      <c r="T20">
        <f t="shared" si="2"/>
        <v>361</v>
      </c>
      <c r="U20">
        <f t="shared" si="2"/>
        <v>380</v>
      </c>
    </row>
    <row r="21" spans="1:21" x14ac:dyDescent="0.25">
      <c r="A21" s="14">
        <v>20</v>
      </c>
      <c r="B21">
        <f t="shared" si="1"/>
        <v>20</v>
      </c>
      <c r="C21">
        <f t="shared" si="2"/>
        <v>40</v>
      </c>
      <c r="D21">
        <f t="shared" si="2"/>
        <v>60</v>
      </c>
      <c r="E21">
        <f t="shared" si="2"/>
        <v>80</v>
      </c>
      <c r="F21">
        <f t="shared" si="2"/>
        <v>100</v>
      </c>
      <c r="G21">
        <f t="shared" si="2"/>
        <v>120</v>
      </c>
      <c r="H21">
        <f t="shared" si="2"/>
        <v>140</v>
      </c>
      <c r="I21">
        <f t="shared" si="2"/>
        <v>160</v>
      </c>
      <c r="J21">
        <f t="shared" si="2"/>
        <v>180</v>
      </c>
      <c r="K21">
        <f t="shared" si="2"/>
        <v>200</v>
      </c>
      <c r="L21">
        <f t="shared" si="2"/>
        <v>220</v>
      </c>
      <c r="M21">
        <f t="shared" si="2"/>
        <v>240</v>
      </c>
      <c r="N21">
        <f t="shared" si="2"/>
        <v>260</v>
      </c>
      <c r="O21">
        <f t="shared" si="2"/>
        <v>280</v>
      </c>
      <c r="P21">
        <f t="shared" si="2"/>
        <v>300</v>
      </c>
      <c r="Q21">
        <f t="shared" si="2"/>
        <v>320</v>
      </c>
      <c r="R21">
        <f t="shared" si="2"/>
        <v>340</v>
      </c>
      <c r="S21">
        <f t="shared" si="2"/>
        <v>360</v>
      </c>
      <c r="T21">
        <f t="shared" si="2"/>
        <v>380</v>
      </c>
      <c r="U21">
        <f t="shared" si="2"/>
        <v>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2" sqref="E2"/>
    </sheetView>
  </sheetViews>
  <sheetFormatPr defaultRowHeight="15" x14ac:dyDescent="0.25"/>
  <cols>
    <col min="1" max="1" width="10.7109375" bestFit="1" customWidth="1"/>
    <col min="4" max="4" width="10.7109375" bestFit="1" customWidth="1"/>
    <col min="7" max="7" width="10.7109375" bestFit="1" customWidth="1"/>
  </cols>
  <sheetData>
    <row r="1" spans="1:8" x14ac:dyDescent="0.25">
      <c r="A1" t="s">
        <v>255</v>
      </c>
      <c r="D1" t="s">
        <v>258</v>
      </c>
      <c r="G1" t="s">
        <v>258</v>
      </c>
    </row>
    <row r="2" spans="1:8" x14ac:dyDescent="0.25">
      <c r="A2" t="s">
        <v>257</v>
      </c>
      <c r="B2" t="s">
        <v>256</v>
      </c>
      <c r="D2" t="s">
        <v>257</v>
      </c>
      <c r="E2" t="s">
        <v>256</v>
      </c>
      <c r="G2" t="s">
        <v>257</v>
      </c>
      <c r="H2" t="s">
        <v>256</v>
      </c>
    </row>
    <row r="3" spans="1:8" x14ac:dyDescent="0.25">
      <c r="A3" s="20">
        <v>42736</v>
      </c>
      <c r="B3">
        <v>-5000</v>
      </c>
      <c r="D3" s="20">
        <v>42736</v>
      </c>
      <c r="E3">
        <v>-5000</v>
      </c>
      <c r="G3" s="20">
        <v>42736</v>
      </c>
      <c r="H3">
        <v>-5000</v>
      </c>
    </row>
    <row r="4" spans="1:8" x14ac:dyDescent="0.25">
      <c r="A4" s="20">
        <v>43101</v>
      </c>
      <c r="B4">
        <v>5000</v>
      </c>
      <c r="D4" s="20">
        <v>42736</v>
      </c>
      <c r="E4">
        <v>-5</v>
      </c>
      <c r="G4" s="20">
        <v>42767</v>
      </c>
      <c r="H4">
        <v>420</v>
      </c>
    </row>
    <row r="5" spans="1:8" x14ac:dyDescent="0.25">
      <c r="A5" s="20">
        <v>43101</v>
      </c>
      <c r="B5">
        <f>1%*B4</f>
        <v>50</v>
      </c>
      <c r="D5" s="20">
        <v>43101</v>
      </c>
      <c r="E5">
        <v>-5</v>
      </c>
      <c r="G5" s="20">
        <v>42795</v>
      </c>
      <c r="H5">
        <v>420</v>
      </c>
    </row>
    <row r="6" spans="1:8" x14ac:dyDescent="0.25">
      <c r="D6" s="20">
        <v>42917</v>
      </c>
      <c r="E6">
        <f>5000*2%</f>
        <v>100</v>
      </c>
      <c r="G6" s="20">
        <v>42826</v>
      </c>
      <c r="H6">
        <v>420</v>
      </c>
    </row>
    <row r="7" spans="1:8" x14ac:dyDescent="0.25">
      <c r="A7" s="22">
        <f>XIRR(B3:B5,A3:A5)</f>
        <v>9.9999994039535606E-3</v>
      </c>
      <c r="D7" s="20">
        <v>43101</v>
      </c>
      <c r="E7">
        <f>5000*1%</f>
        <v>50</v>
      </c>
      <c r="G7" s="20">
        <v>42856</v>
      </c>
      <c r="H7">
        <v>420</v>
      </c>
    </row>
    <row r="8" spans="1:8" x14ac:dyDescent="0.25">
      <c r="D8" s="20">
        <v>43101</v>
      </c>
      <c r="E8">
        <v>5000</v>
      </c>
      <c r="G8" s="20">
        <v>42887</v>
      </c>
      <c r="H8">
        <v>420</v>
      </c>
    </row>
    <row r="9" spans="1:8" x14ac:dyDescent="0.25">
      <c r="G9" s="20">
        <v>42917</v>
      </c>
      <c r="H9">
        <v>420</v>
      </c>
    </row>
    <row r="10" spans="1:8" x14ac:dyDescent="0.25">
      <c r="D10" s="21">
        <f>XIRR(E3:E8,D3:D8)</f>
        <v>2.825464904308319E-2</v>
      </c>
      <c r="G10" s="20">
        <v>42948</v>
      </c>
      <c r="H10">
        <v>420</v>
      </c>
    </row>
    <row r="11" spans="1:8" x14ac:dyDescent="0.25">
      <c r="G11" s="20">
        <v>42979</v>
      </c>
      <c r="H11">
        <v>420</v>
      </c>
    </row>
    <row r="12" spans="1:8" x14ac:dyDescent="0.25">
      <c r="G12" s="20">
        <v>43009</v>
      </c>
      <c r="H12">
        <v>420</v>
      </c>
    </row>
    <row r="13" spans="1:8" x14ac:dyDescent="0.25">
      <c r="G13" s="20">
        <v>43040</v>
      </c>
      <c r="H13">
        <v>420</v>
      </c>
    </row>
    <row r="14" spans="1:8" x14ac:dyDescent="0.25">
      <c r="G14" s="20">
        <v>43070</v>
      </c>
      <c r="H14">
        <v>420</v>
      </c>
    </row>
    <row r="15" spans="1:8" x14ac:dyDescent="0.25">
      <c r="G15" s="20">
        <v>43101</v>
      </c>
      <c r="H15">
        <v>420</v>
      </c>
    </row>
    <row r="17" spans="7:7" x14ac:dyDescent="0.25">
      <c r="G17" s="21">
        <f>XIRR(H3:H15,G3:G15)</f>
        <v>1.4896312355995176E-2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sqref="A1:B1048576"/>
    </sheetView>
  </sheetViews>
  <sheetFormatPr defaultRowHeight="15" x14ac:dyDescent="0.25"/>
  <sheetData>
    <row r="1" spans="1:2" x14ac:dyDescent="0.25">
      <c r="A1" t="s">
        <v>253</v>
      </c>
      <c r="B1" t="s">
        <v>254</v>
      </c>
    </row>
    <row r="2" spans="1:2" x14ac:dyDescent="0.25">
      <c r="A2">
        <v>0.1</v>
      </c>
      <c r="B2">
        <f>(EXP(A2)-2)/A2</f>
        <v>-8.9482908192435229</v>
      </c>
    </row>
    <row r="3" spans="1:2" x14ac:dyDescent="0.25">
      <c r="A3">
        <v>0.15</v>
      </c>
      <c r="B3">
        <f t="shared" ref="B3:B40" si="0">(EXP(A3)-2)/A3</f>
        <v>-5.5877717151447799</v>
      </c>
    </row>
    <row r="4" spans="1:2" x14ac:dyDescent="0.25">
      <c r="A4">
        <v>0.2</v>
      </c>
      <c r="B4">
        <f t="shared" si="0"/>
        <v>-3.8929862091991505</v>
      </c>
    </row>
    <row r="5" spans="1:2" x14ac:dyDescent="0.25">
      <c r="A5">
        <v>0.25</v>
      </c>
      <c r="B5">
        <f t="shared" si="0"/>
        <v>-2.8638983332490344</v>
      </c>
    </row>
    <row r="6" spans="1:2" x14ac:dyDescent="0.25">
      <c r="A6">
        <v>0.3</v>
      </c>
      <c r="B6">
        <f t="shared" si="0"/>
        <v>-2.1671373080799894</v>
      </c>
    </row>
    <row r="7" spans="1:2" x14ac:dyDescent="0.25">
      <c r="A7">
        <v>0.35</v>
      </c>
      <c r="B7">
        <f t="shared" si="0"/>
        <v>-1.6598070040192654</v>
      </c>
    </row>
    <row r="8" spans="1:2" x14ac:dyDescent="0.25">
      <c r="A8">
        <v>0.4</v>
      </c>
      <c r="B8">
        <f t="shared" si="0"/>
        <v>-1.2704382558968241</v>
      </c>
    </row>
    <row r="9" spans="1:2" x14ac:dyDescent="0.25">
      <c r="A9">
        <v>0.45</v>
      </c>
      <c r="B9">
        <f t="shared" si="0"/>
        <v>-0.95930625446629125</v>
      </c>
    </row>
    <row r="10" spans="1:2" x14ac:dyDescent="0.25">
      <c r="A10">
        <v>0.5</v>
      </c>
      <c r="B10">
        <f t="shared" si="0"/>
        <v>-0.70255745859974361</v>
      </c>
    </row>
    <row r="11" spans="1:2" x14ac:dyDescent="0.25">
      <c r="A11">
        <v>0.55000000000000004</v>
      </c>
      <c r="B11">
        <f t="shared" si="0"/>
        <v>-0.4849945129683722</v>
      </c>
    </row>
    <row r="12" spans="1:2" x14ac:dyDescent="0.25">
      <c r="A12">
        <v>0.6</v>
      </c>
      <c r="B12">
        <f t="shared" si="0"/>
        <v>-0.29646866601581856</v>
      </c>
    </row>
    <row r="13" spans="1:2" x14ac:dyDescent="0.25">
      <c r="A13">
        <v>0.65</v>
      </c>
      <c r="B13">
        <f t="shared" si="0"/>
        <v>-0.12993718613246735</v>
      </c>
    </row>
    <row r="14" spans="1:2" x14ac:dyDescent="0.25">
      <c r="A14">
        <v>0.7</v>
      </c>
      <c r="B14">
        <f t="shared" si="0"/>
        <v>1.9646724957823762E-2</v>
      </c>
    </row>
    <row r="15" spans="1:2" x14ac:dyDescent="0.25">
      <c r="A15">
        <v>0.75</v>
      </c>
      <c r="B15">
        <f t="shared" si="0"/>
        <v>0.15600002215023304</v>
      </c>
    </row>
    <row r="16" spans="1:2" x14ac:dyDescent="0.25">
      <c r="A16">
        <v>0.8</v>
      </c>
      <c r="B16">
        <f t="shared" si="0"/>
        <v>0.28192616061558484</v>
      </c>
    </row>
    <row r="17" spans="1:2" x14ac:dyDescent="0.25">
      <c r="A17">
        <v>0.85</v>
      </c>
      <c r="B17">
        <f t="shared" si="0"/>
        <v>0.39958453167763619</v>
      </c>
    </row>
    <row r="18" spans="1:2" x14ac:dyDescent="0.25">
      <c r="A18">
        <v>0.9</v>
      </c>
      <c r="B18">
        <f t="shared" si="0"/>
        <v>0.51067012350772201</v>
      </c>
    </row>
    <row r="19" spans="1:2" x14ac:dyDescent="0.25">
      <c r="A19">
        <v>0.95</v>
      </c>
      <c r="B19">
        <f t="shared" si="0"/>
        <v>0.61653648349036416</v>
      </c>
    </row>
    <row r="20" spans="1:2" x14ac:dyDescent="0.25">
      <c r="A20">
        <v>1</v>
      </c>
      <c r="B20">
        <f t="shared" si="0"/>
        <v>0.71828182845904509</v>
      </c>
    </row>
    <row r="21" spans="1:2" x14ac:dyDescent="0.25">
      <c r="A21">
        <v>1.05</v>
      </c>
      <c r="B21">
        <f t="shared" si="0"/>
        <v>0.81681058863158462</v>
      </c>
    </row>
    <row r="22" spans="1:2" x14ac:dyDescent="0.25">
      <c r="A22">
        <v>1.1000000000000001</v>
      </c>
      <c r="B22">
        <f t="shared" si="0"/>
        <v>0.91287820358766669</v>
      </c>
    </row>
    <row r="23" spans="1:2" x14ac:dyDescent="0.25">
      <c r="A23">
        <v>1.1499999999999999</v>
      </c>
      <c r="B23">
        <f t="shared" si="0"/>
        <v>1.0071242692954498</v>
      </c>
    </row>
    <row r="24" spans="1:2" x14ac:dyDescent="0.25">
      <c r="A24">
        <v>1.2</v>
      </c>
      <c r="B24">
        <f t="shared" si="0"/>
        <v>1.1000974356137894</v>
      </c>
    </row>
    <row r="25" spans="1:2" x14ac:dyDescent="0.25">
      <c r="A25">
        <v>1.25</v>
      </c>
      <c r="B25">
        <f t="shared" si="0"/>
        <v>1.1922743659694732</v>
      </c>
    </row>
    <row r="26" spans="1:2" x14ac:dyDescent="0.25">
      <c r="A26">
        <v>1.3</v>
      </c>
      <c r="B26">
        <f t="shared" si="0"/>
        <v>1.2840743597071111</v>
      </c>
    </row>
    <row r="27" spans="1:2" x14ac:dyDescent="0.25">
      <c r="A27">
        <v>1.35</v>
      </c>
      <c r="B27">
        <f t="shared" si="0"/>
        <v>1.3758707634792402</v>
      </c>
    </row>
    <row r="28" spans="1:2" x14ac:dyDescent="0.25">
      <c r="A28">
        <v>1.4</v>
      </c>
      <c r="B28">
        <f t="shared" si="0"/>
        <v>1.4679999763176248</v>
      </c>
    </row>
    <row r="29" spans="1:2" x14ac:dyDescent="0.25">
      <c r="A29">
        <v>1.45</v>
      </c>
      <c r="B29">
        <f t="shared" si="0"/>
        <v>1.5607686311509081</v>
      </c>
    </row>
    <row r="30" spans="1:2" x14ac:dyDescent="0.25">
      <c r="A30">
        <v>1.5</v>
      </c>
      <c r="B30">
        <f t="shared" si="0"/>
        <v>1.6544593802253764</v>
      </c>
    </row>
    <row r="31" spans="1:2" x14ac:dyDescent="0.25">
      <c r="A31">
        <v>1.55</v>
      </c>
      <c r="B31">
        <f t="shared" si="0"/>
        <v>1.7493356016714463</v>
      </c>
    </row>
    <row r="32" spans="1:2" x14ac:dyDescent="0.25">
      <c r="A32">
        <v>1.6</v>
      </c>
      <c r="B32">
        <f t="shared" si="0"/>
        <v>1.8456452652469468</v>
      </c>
    </row>
    <row r="33" spans="1:2" x14ac:dyDescent="0.25">
      <c r="A33">
        <v>1.65</v>
      </c>
      <c r="B33">
        <f t="shared" si="0"/>
        <v>1.9436241376847569</v>
      </c>
    </row>
    <row r="34" spans="1:2" x14ac:dyDescent="0.25">
      <c r="A34">
        <v>1.7</v>
      </c>
      <c r="B34">
        <f t="shared" si="0"/>
        <v>2.0434984657218824</v>
      </c>
    </row>
    <row r="35" spans="1:2" x14ac:dyDescent="0.25">
      <c r="A35">
        <v>1.75</v>
      </c>
      <c r="B35">
        <f t="shared" si="0"/>
        <v>2.1454872434318459</v>
      </c>
    </row>
    <row r="36" spans="1:2" x14ac:dyDescent="0.25">
      <c r="A36">
        <v>1.8</v>
      </c>
      <c r="B36">
        <f t="shared" si="0"/>
        <v>2.2498041468960812</v>
      </c>
    </row>
    <row r="37" spans="1:2" x14ac:dyDescent="0.25">
      <c r="A37">
        <v>1.85</v>
      </c>
      <c r="B37">
        <f t="shared" si="0"/>
        <v>2.3566592014063956</v>
      </c>
    </row>
    <row r="38" spans="1:2" x14ac:dyDescent="0.25">
      <c r="A38">
        <v>1.9</v>
      </c>
      <c r="B38">
        <f t="shared" si="0"/>
        <v>2.4662602327785623</v>
      </c>
    </row>
    <row r="39" spans="1:2" x14ac:dyDescent="0.25">
      <c r="A39">
        <v>1.95</v>
      </c>
      <c r="B39">
        <f t="shared" si="0"/>
        <v>2.578814143891945</v>
      </c>
    </row>
    <row r="40" spans="1:2" x14ac:dyDescent="0.25">
      <c r="A40">
        <v>2</v>
      </c>
      <c r="B40">
        <f t="shared" si="0"/>
        <v>2.6945280494653252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Sheet2</vt:lpstr>
      <vt:lpstr>Equity</vt:lpstr>
      <vt:lpstr>RevenuesYear</vt:lpstr>
      <vt:lpstr>MultTable</vt:lpstr>
      <vt:lpstr>Sheet4</vt:lpstr>
      <vt:lpstr>Sheet3</vt:lpstr>
      <vt:lpstr>Chart1</vt:lpstr>
      <vt:lpstr>Chart2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2016-05-11T09:30:54Z</dcterms:created>
  <dcterms:modified xsi:type="dcterms:W3CDTF">2016-09-11T11:56:00Z</dcterms:modified>
</cp:coreProperties>
</file>