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58C9C3E6-CA3E-48AA-AD75-09A212665D07}" xr6:coauthVersionLast="47" xr6:coauthVersionMax="47" xr10:uidLastSave="{00000000-0000-0000-0000-000000000000}"/>
  <bookViews>
    <workbookView xWindow="-120" yWindow="-120" windowWidth="29040" windowHeight="15720" xr2:uid="{07CDB919-CC32-4E58-BE4B-84C1EFA8960A}"/>
  </bookViews>
  <sheets>
    <sheet name="BTP Italia analisi nov 2024" sheetId="1" r:id="rId1"/>
    <sheet name="Guadagno finora" sheetId="2" r:id="rId2"/>
  </sheets>
  <externalReferences>
    <externalReference r:id="rId3"/>
  </externalReferences>
  <definedNames>
    <definedName name="bonus" localSheetId="0">'BTP Italia analisi nov 2024'!$B$1</definedName>
    <definedName name="bonus">'[1]rendimenti dic 2023'!$B$1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  <c r="D8" i="2"/>
  <c r="C3" i="2"/>
  <c r="AA5" i="1" a="1"/>
  <c r="AA5" i="1" s="1"/>
  <c r="Z5" i="1" s="1"/>
  <c r="AA6" i="1" a="1"/>
  <c r="AA6" i="1" s="1"/>
  <c r="F21" i="2"/>
  <c r="F12" i="2"/>
  <c r="E10" i="2"/>
  <c r="E11" i="2" s="1"/>
  <c r="E13" i="2" s="1"/>
  <c r="E14" i="2" s="1"/>
  <c r="E15" i="2" s="1"/>
  <c r="E16" i="2" s="1"/>
  <c r="E17" i="2" s="1"/>
  <c r="E18" i="2" s="1"/>
  <c r="E19" i="2" s="1"/>
  <c r="E20" i="2" s="1"/>
  <c r="F20" i="2" s="1"/>
  <c r="F9" i="2"/>
  <c r="E4" i="2"/>
  <c r="F4" i="2" s="1"/>
  <c r="E5" i="2"/>
  <c r="F5" i="2" s="1"/>
  <c r="E6" i="2"/>
  <c r="F6" i="2" s="1"/>
  <c r="E7" i="2"/>
  <c r="F7" i="2" s="1"/>
  <c r="E3" i="2"/>
  <c r="F3" i="2" s="1"/>
  <c r="C4" i="2"/>
  <c r="D4" i="2" s="1"/>
  <c r="C5" i="2"/>
  <c r="D5" i="2" s="1"/>
  <c r="C6" i="2"/>
  <c r="D6" i="2" s="1"/>
  <c r="C7" i="2"/>
  <c r="D7" i="2" s="1"/>
  <c r="D3" i="2"/>
  <c r="C41" i="1"/>
  <c r="Z7" i="1"/>
  <c r="W5" i="1" a="1"/>
  <c r="W5" i="1" s="1"/>
  <c r="V5" i="1" s="1"/>
  <c r="W6" i="1" a="1"/>
  <c r="W6" i="1" s="1"/>
  <c r="V6" i="1" s="1"/>
  <c r="W7" i="1" a="1"/>
  <c r="W7" i="1" s="1"/>
  <c r="V7" i="1" s="1"/>
  <c r="V9" i="1"/>
  <c r="K5" i="1" a="1"/>
  <c r="K5" i="1" s="1"/>
  <c r="J5" i="1" s="1"/>
  <c r="K6" i="1" a="1"/>
  <c r="K6" i="1" s="1"/>
  <c r="J6" i="1" s="1"/>
  <c r="K7" i="1" a="1"/>
  <c r="K7" i="1" s="1"/>
  <c r="J7" i="1" s="1"/>
  <c r="K8" i="1" a="1"/>
  <c r="K8" i="1" s="1"/>
  <c r="J8" i="1" s="1"/>
  <c r="K9" i="1" a="1"/>
  <c r="K9" i="1" s="1"/>
  <c r="J9" i="1" s="1"/>
  <c r="K10" i="1" a="1"/>
  <c r="K10" i="1" s="1"/>
  <c r="J10" i="1" s="1"/>
  <c r="K11" i="1" a="1"/>
  <c r="K11" i="1" s="1"/>
  <c r="J11" i="1" s="1"/>
  <c r="K12" i="1" a="1"/>
  <c r="K12" i="1" s="1"/>
  <c r="J12" i="1" s="1"/>
  <c r="J14" i="1"/>
  <c r="N13" i="1"/>
  <c r="O11" i="1" a="1"/>
  <c r="O11" i="1" s="1"/>
  <c r="N11" i="1" s="1"/>
  <c r="O10" i="1" a="1"/>
  <c r="O10" i="1" s="1"/>
  <c r="N10" i="1" s="1"/>
  <c r="O9" i="1" a="1"/>
  <c r="O9" i="1" s="1"/>
  <c r="N9" i="1" s="1"/>
  <c r="O8" i="1" a="1"/>
  <c r="O8" i="1" s="1"/>
  <c r="N8" i="1" s="1"/>
  <c r="O7" i="1" a="1"/>
  <c r="O7" i="1" s="1"/>
  <c r="N7" i="1" s="1"/>
  <c r="O6" i="1" a="1"/>
  <c r="O6" i="1" s="1"/>
  <c r="N6" i="1" s="1"/>
  <c r="O5" i="1" a="1"/>
  <c r="O5" i="1" s="1"/>
  <c r="N5" i="1" s="1"/>
  <c r="R12" i="1"/>
  <c r="S10" i="1" a="1"/>
  <c r="S10" i="1" s="1"/>
  <c r="R10" i="1" s="1"/>
  <c r="S9" i="1" a="1"/>
  <c r="S9" i="1" s="1"/>
  <c r="R9" i="1" s="1"/>
  <c r="S8" i="1" a="1"/>
  <c r="S8" i="1" s="1"/>
  <c r="R8" i="1" s="1"/>
  <c r="S7" i="1" a="1"/>
  <c r="S7" i="1" s="1"/>
  <c r="R7" i="1" s="1"/>
  <c r="S6" i="1" a="1"/>
  <c r="S6" i="1" s="1"/>
  <c r="R6" i="1" s="1"/>
  <c r="S5" i="1" a="1"/>
  <c r="S5" i="1" s="1"/>
  <c r="R5" i="1" s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J28" i="1"/>
  <c r="I28" i="1"/>
  <c r="C30" i="1"/>
  <c r="C29" i="1"/>
  <c r="C28" i="1"/>
  <c r="C27" i="1"/>
  <c r="C26" i="1"/>
  <c r="C25" i="1"/>
  <c r="J22" i="1"/>
  <c r="J4" i="1" s="1"/>
  <c r="C24" i="1"/>
  <c r="Y21" i="1"/>
  <c r="Z28" i="1" s="1"/>
  <c r="U21" i="1"/>
  <c r="U28" i="1" s="1"/>
  <c r="Q21" i="1"/>
  <c r="R22" i="1" s="1"/>
  <c r="R3" i="1" s="1"/>
  <c r="M21" i="1"/>
  <c r="N22" i="1" s="1"/>
  <c r="N3" i="1" s="1"/>
  <c r="E21" i="1"/>
  <c r="F22" i="1" s="1"/>
  <c r="F4" i="1" s="1"/>
  <c r="C23" i="1"/>
  <c r="C22" i="1"/>
  <c r="C21" i="1"/>
  <c r="F19" i="1"/>
  <c r="C20" i="1"/>
  <c r="F18" i="1"/>
  <c r="C19" i="1"/>
  <c r="C18" i="1"/>
  <c r="G16" i="1" a="1"/>
  <c r="G16" i="1" s="1"/>
  <c r="F16" i="1" s="1"/>
  <c r="C17" i="1"/>
  <c r="G15" i="1" a="1"/>
  <c r="G15" i="1" s="1"/>
  <c r="F15" i="1" s="1"/>
  <c r="C16" i="1"/>
  <c r="G14" i="1" a="1"/>
  <c r="G14" i="1" s="1"/>
  <c r="F14" i="1" s="1"/>
  <c r="C15" i="1"/>
  <c r="G13" i="1" a="1"/>
  <c r="G13" i="1" s="1"/>
  <c r="F13" i="1" s="1"/>
  <c r="C14" i="1"/>
  <c r="G12" i="1" a="1"/>
  <c r="G12" i="1" s="1"/>
  <c r="F12" i="1" s="1"/>
  <c r="G11" i="1" a="1"/>
  <c r="G11" i="1" s="1"/>
  <c r="F11" i="1" s="1"/>
  <c r="G10" i="1" a="1"/>
  <c r="G10" i="1" s="1"/>
  <c r="F10" i="1" s="1"/>
  <c r="G9" i="1" a="1"/>
  <c r="G9" i="1" s="1"/>
  <c r="F9" i="1" s="1"/>
  <c r="G8" i="1" a="1"/>
  <c r="G8" i="1" s="1"/>
  <c r="F8" i="1" s="1"/>
  <c r="G7" i="1" a="1"/>
  <c r="G7" i="1" s="1"/>
  <c r="F7" i="1" s="1"/>
  <c r="G6" i="1" a="1"/>
  <c r="G6" i="1" s="1"/>
  <c r="F6" i="1" s="1"/>
  <c r="G5" i="1" a="1"/>
  <c r="G5" i="1" s="1"/>
  <c r="F5" i="1" s="1"/>
  <c r="F3" i="1" l="1"/>
  <c r="G21" i="1" s="1"/>
  <c r="G25" i="1" s="1"/>
  <c r="F17" i="2"/>
  <c r="F16" i="2"/>
  <c r="F19" i="2"/>
  <c r="F15" i="2"/>
  <c r="F14" i="2"/>
  <c r="F13" i="2"/>
  <c r="F11" i="2"/>
  <c r="F10" i="2"/>
  <c r="F18" i="2"/>
  <c r="F24" i="2"/>
  <c r="F25" i="2"/>
  <c r="F26" i="2" s="1" a="1"/>
  <c r="F26" i="2" s="1"/>
  <c r="E25" i="2"/>
  <c r="E26" i="2" s="1" a="1"/>
  <c r="E26" i="2" s="1"/>
  <c r="E24" i="2"/>
  <c r="D24" i="2"/>
  <c r="D25" i="2"/>
  <c r="D26" i="2" s="1" a="1"/>
  <c r="D26" i="2" s="1"/>
  <c r="C25" i="2"/>
  <c r="C26" i="2" s="1" a="1"/>
  <c r="C26" i="2" s="1"/>
  <c r="C24" i="2"/>
  <c r="J3" i="1"/>
  <c r="K21" i="1" s="1"/>
  <c r="K25" i="1" s="1"/>
  <c r="Z22" i="1"/>
  <c r="Z3" i="1" s="1"/>
  <c r="Y28" i="1"/>
  <c r="V22" i="1"/>
  <c r="V3" i="1" s="1"/>
  <c r="V28" i="1"/>
  <c r="E28" i="1"/>
  <c r="F28" i="1"/>
  <c r="N4" i="1"/>
  <c r="R4" i="1"/>
  <c r="M28" i="1"/>
  <c r="N28" i="1"/>
  <c r="Q28" i="1"/>
  <c r="R28" i="1"/>
  <c r="Z4" i="1" l="1"/>
  <c r="AA21" i="1" s="1"/>
  <c r="AA25" i="1" s="1"/>
  <c r="V4" i="1"/>
  <c r="W21" i="1" s="1"/>
  <c r="W25" i="1" s="1"/>
  <c r="S21" i="1"/>
  <c r="S25" i="1" s="1"/>
  <c r="O21" i="1"/>
  <c r="O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<sst xmlns="http://schemas.openxmlformats.org/spreadsheetml/2006/main" count="47" uniqueCount="29">
  <si>
    <t>Bonus</t>
  </si>
  <si>
    <t>Data</t>
  </si>
  <si>
    <t>Flusso</t>
  </si>
  <si>
    <t>Infl semestre</t>
  </si>
  <si>
    <t>Scadenza</t>
  </si>
  <si>
    <t>Prox cedola rispetto oggi</t>
  </si>
  <si>
    <t>Mese</t>
  </si>
  <si>
    <t>Infl mensile</t>
  </si>
  <si>
    <t>Infl annuale</t>
  </si>
  <si>
    <t>BTP 15/6/30</t>
  </si>
  <si>
    <t>BTP 1/12/28</t>
  </si>
  <si>
    <t>BTP 15/3/28</t>
  </si>
  <si>
    <t>BTP 1/11/27</t>
  </si>
  <si>
    <t>BTP 1/6/26</t>
  </si>
  <si>
    <t>BTP 1/6/25</t>
  </si>
  <si>
    <t>PROSSIMA CEDOLA RISPETTO A OGGI</t>
  </si>
  <si>
    <t>https://www.borsaitaliana.it/borsa/obbligazioni/mot/btp/scheda/IT0005090318.html?lang=it</t>
  </si>
  <si>
    <t>https://www.borsaitaliana.it/borsa/obbligazioni/mot/btp/scheda/IT0005170839.html?lang=it</t>
  </si>
  <si>
    <t>https://www.borsaitaliana.it/borsa/obbligazioni/mot/btp/scheda/IT0001174611.html?lang=it</t>
  </si>
  <si>
    <t>https://www.borsaitaliana.it/borsa/obbligazioni/mot/btp/scheda/IT0005433690.html?lang=it</t>
  </si>
  <si>
    <t>https://www.borsaitaliana.it/borsa/obbligazioni/mot/btp/scheda/IT0005340929.html?lang=it</t>
  </si>
  <si>
    <t>https://www.borsaitaliana.it/borsa/obbligazioni/mot/btp/scheda/IT0005542797.html?lang=it</t>
  </si>
  <si>
    <t>Coef 26/11/24</t>
  </si>
  <si>
    <t>Coefficienti</t>
  </si>
  <si>
    <t>TIR</t>
  </si>
  <si>
    <t>SERVA %</t>
  </si>
  <si>
    <t>SERVA % su durata</t>
  </si>
  <si>
    <t>Flusso lordo</t>
  </si>
  <si>
    <t>Flusso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</si>
</sst>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%"/>
    <numFmt numFmtId="166" formatCode="0.000"/>
    <numFmt numFmtId="167" formatCode="#,##0.00000"/>
    <numFmt numFmtId="175" formatCode="0.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4" fontId="2" fillId="0" borderId="0" xfId="0" applyNumberFormat="1" applyFont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2" fontId="0" fillId="2" borderId="0" xfId="0" applyNumberFormat="1" applyFill="1"/>
    <xf numFmtId="164" fontId="2" fillId="0" borderId="0" xfId="0" applyNumberFormat="1" applyFont="1"/>
    <xf numFmtId="2" fontId="0" fillId="0" borderId="0" xfId="0" applyNumberFormat="1"/>
    <xf numFmtId="165" fontId="0" fillId="0" borderId="0" xfId="0" applyNumberFormat="1"/>
    <xf numFmtId="2" fontId="0" fillId="3" borderId="0" xfId="0" applyNumberFormat="1" applyFill="1"/>
    <xf numFmtId="166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0" fontId="0" fillId="0" borderId="0" xfId="1" applyNumberFormat="1" applyFont="1" applyFill="1"/>
    <xf numFmtId="14" fontId="0" fillId="4" borderId="0" xfId="0" applyNumberFormat="1" applyFill="1"/>
    <xf numFmtId="10" fontId="0" fillId="5" borderId="0" xfId="1" applyNumberFormat="1" applyFont="1" applyFill="1"/>
    <xf numFmtId="10" fontId="0" fillId="6" borderId="0" xfId="0" applyNumberFormat="1" applyFill="1"/>
    <xf numFmtId="1" fontId="0" fillId="0" borderId="0" xfId="0" applyNumberFormat="1"/>
    <xf numFmtId="0" fontId="3" fillId="0" borderId="0" xfId="0" applyFont="1"/>
    <xf numFmtId="10" fontId="0" fillId="2" borderId="0" xfId="1" applyNumberFormat="1" applyFont="1" applyFill="1"/>
    <xf numFmtId="167" fontId="0" fillId="0" borderId="0" xfId="0" applyNumberFormat="1"/>
    <xf numFmtId="10" fontId="0" fillId="7" borderId="0" xfId="1" applyNumberFormat="1" applyFont="1" applyFill="1"/>
    <xf numFmtId="0" fontId="4" fillId="0" borderId="0" xfId="2"/>
    <xf numFmtId="0" fontId="0" fillId="7" borderId="0" xfId="0" applyFill="1"/>
    <xf numFmtId="0" fontId="0" fillId="0" borderId="0" xfId="0" applyFill="1"/>
    <xf numFmtId="175" fontId="0" fillId="0" borderId="0" xfId="1" applyNumberFormat="1" applyFont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olo\Videos\codici%20e%20dati\Analisi%20BTP%20Italia%20dicembre%202023.xlsx" TargetMode="External"/><Relationship Id="rId1" Type="http://schemas.openxmlformats.org/officeDocument/2006/relationships/externalLinkPath" Target="Analisi%20BTP%20Italia%20dic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o cedola"/>
      <sheetName val="rendimenti dic 2023"/>
      <sheetName val="rendimenti gen 2024"/>
    </sheetNames>
    <sheetDataSet>
      <sheetData sheetId="0" refreshError="1"/>
      <sheetData sheetId="1">
        <row r="1">
          <cell r="B1" t="b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rsaitaliana.it/borsa/obbligazioni/mot/btp/scheda/IT0001174611.html?lang=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orsaitaliana.it/borsa/obbligazioni/mot/btp/scheda/IT0005170839.html?lang=it" TargetMode="External"/><Relationship Id="rId1" Type="http://schemas.openxmlformats.org/officeDocument/2006/relationships/hyperlink" Target="https://www.borsaitaliana.it/borsa/obbligazioni/mot/btp/scheda/IT0005090318.html?lang=it" TargetMode="External"/><Relationship Id="rId6" Type="http://schemas.openxmlformats.org/officeDocument/2006/relationships/hyperlink" Target="https://www.borsaitaliana.it/borsa/obbligazioni/mot/btp/scheda/IT0005542797.html?lang=it" TargetMode="External"/><Relationship Id="rId5" Type="http://schemas.openxmlformats.org/officeDocument/2006/relationships/hyperlink" Target="https://www.borsaitaliana.it/borsa/obbligazioni/mot/btp/scheda/IT0005340929.html?lang=it" TargetMode="External"/><Relationship Id="rId4" Type="http://schemas.openxmlformats.org/officeDocument/2006/relationships/hyperlink" Target="https://www.borsaitaliana.it/borsa/obbligazioni/mot/btp/scheda/IT0005433690.html?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2E1B-9122-45D4-B5D8-A7EE1AA65A5F}">
  <dimension ref="A1:AA112"/>
  <sheetViews>
    <sheetView tabSelected="1" zoomScale="150" zoomScaleNormal="150" workbookViewId="0"/>
  </sheetViews>
  <sheetFormatPr defaultRowHeight="15" x14ac:dyDescent="0.25"/>
  <cols>
    <col min="1" max="1" width="11.42578125" style="4" bestFit="1" customWidth="1"/>
    <col min="2" max="2" width="12.28515625" style="2" customWidth="1"/>
    <col min="3" max="3" width="11.5703125" style="2" bestFit="1" customWidth="1"/>
    <col min="5" max="5" width="11.85546875" customWidth="1"/>
    <col min="6" max="6" width="8.42578125" bestFit="1" customWidth="1"/>
    <col min="7" max="7" width="12.7109375" bestFit="1" customWidth="1"/>
    <col min="9" max="9" width="11" bestFit="1" customWidth="1"/>
    <col min="10" max="10" width="8.42578125" bestFit="1" customWidth="1"/>
    <col min="11" max="11" width="12.7109375" bestFit="1" customWidth="1"/>
    <col min="13" max="13" width="11" bestFit="1" customWidth="1"/>
    <col min="14" max="14" width="7.85546875" bestFit="1" customWidth="1"/>
    <col min="15" max="15" width="12.7109375" bestFit="1" customWidth="1"/>
    <col min="17" max="17" width="11" bestFit="1" customWidth="1"/>
    <col min="18" max="18" width="8.42578125" bestFit="1" customWidth="1"/>
    <col min="19" max="19" width="12.7109375" bestFit="1" customWidth="1"/>
    <col min="21" max="21" width="11" bestFit="1" customWidth="1"/>
    <col min="22" max="22" width="8.42578125" bestFit="1" customWidth="1"/>
    <col min="23" max="23" width="12.7109375" bestFit="1" customWidth="1"/>
    <col min="25" max="25" width="11" bestFit="1" customWidth="1"/>
    <col min="26" max="26" width="8.42578125" bestFit="1" customWidth="1"/>
    <col min="27" max="27" width="12.7109375" bestFit="1" customWidth="1"/>
  </cols>
  <sheetData>
    <row r="1" spans="1:27" s="3" customFormat="1" x14ac:dyDescent="0.25">
      <c r="A1" s="1" t="s">
        <v>0</v>
      </c>
      <c r="B1" s="2" t="b">
        <v>1</v>
      </c>
      <c r="C1" s="2"/>
      <c r="D1"/>
      <c r="E1" s="3" t="s">
        <v>1</v>
      </c>
      <c r="F1" s="3" t="s">
        <v>2</v>
      </c>
      <c r="G1" s="3" t="s">
        <v>3</v>
      </c>
      <c r="I1" s="3" t="s">
        <v>1</v>
      </c>
      <c r="J1" s="3" t="s">
        <v>2</v>
      </c>
      <c r="K1" s="3" t="s">
        <v>3</v>
      </c>
      <c r="M1" s="3" t="s">
        <v>1</v>
      </c>
      <c r="N1" s="3" t="s">
        <v>2</v>
      </c>
      <c r="O1" s="3" t="s">
        <v>3</v>
      </c>
      <c r="Q1" s="3" t="s">
        <v>1</v>
      </c>
      <c r="R1" s="3" t="s">
        <v>2</v>
      </c>
      <c r="S1" s="3" t="s">
        <v>3</v>
      </c>
      <c r="U1" s="3" t="s">
        <v>1</v>
      </c>
      <c r="V1" s="3" t="s">
        <v>2</v>
      </c>
      <c r="W1" s="3" t="s">
        <v>3</v>
      </c>
      <c r="Y1" s="3" t="s">
        <v>1</v>
      </c>
      <c r="Z1" s="3" t="s">
        <v>2</v>
      </c>
      <c r="AA1" s="3" t="s">
        <v>3</v>
      </c>
    </row>
    <row r="2" spans="1:27" x14ac:dyDescent="0.25">
      <c r="D2" s="3"/>
      <c r="E2" s="4">
        <v>45622</v>
      </c>
      <c r="F2" s="5">
        <v>-96.84</v>
      </c>
      <c r="I2" s="4">
        <v>45622</v>
      </c>
      <c r="J2" s="5">
        <v>-98.76</v>
      </c>
      <c r="M2" s="4">
        <v>45622</v>
      </c>
      <c r="N2" s="5">
        <v>-100</v>
      </c>
      <c r="Q2" s="4">
        <v>45622</v>
      </c>
      <c r="R2" s="5">
        <v>-96.73</v>
      </c>
      <c r="U2" s="4">
        <v>45622</v>
      </c>
      <c r="V2" s="5">
        <v>-98.27</v>
      </c>
      <c r="Y2" s="4">
        <v>45622</v>
      </c>
      <c r="Z2" s="5">
        <v>-99.564999999999998</v>
      </c>
    </row>
    <row r="3" spans="1:27" x14ac:dyDescent="0.25">
      <c r="A3" s="1" t="s">
        <v>4</v>
      </c>
      <c r="B3" s="6" t="s">
        <v>22</v>
      </c>
      <c r="C3" s="6" t="s">
        <v>5</v>
      </c>
      <c r="E3" s="4">
        <v>45622</v>
      </c>
      <c r="F3" s="7">
        <f>-F21/2*(E3-E5+183)/183*100*F22</f>
        <v>-0.66401713661202177</v>
      </c>
      <c r="I3" s="4">
        <v>45622</v>
      </c>
      <c r="J3" s="7">
        <f>-J21/2*(I3-I5+183)/183*100*J22</f>
        <v>-2.6226622950819675E-2</v>
      </c>
      <c r="M3" s="4">
        <v>45622</v>
      </c>
      <c r="N3" s="7">
        <f>-N21/2*(M3-M5+183)/183*100*N22</f>
        <v>-0.4109098360655738</v>
      </c>
      <c r="Q3" s="4">
        <v>45622</v>
      </c>
      <c r="R3" s="7">
        <f>-R21/2*(Q3-Q5+183)/183*100*R22</f>
        <v>-5.3253114754098357E-2</v>
      </c>
      <c r="U3" s="4">
        <v>45622</v>
      </c>
      <c r="V3" s="7">
        <f>-V21/2*(U3-U5+183)/183*100*V22</f>
        <v>-1.051765300546448E-2</v>
      </c>
      <c r="Y3" s="4">
        <v>45622</v>
      </c>
      <c r="Z3" s="7">
        <f>-Z21/2*(Y3-Y5+183)/183*100*Z22</f>
        <v>-7.6502732240437158E-3</v>
      </c>
    </row>
    <row r="4" spans="1:27" x14ac:dyDescent="0.25">
      <c r="A4" s="4">
        <v>47662</v>
      </c>
      <c r="B4">
        <v>1.0059199999999999</v>
      </c>
      <c r="C4"/>
      <c r="E4" s="4">
        <v>45622</v>
      </c>
      <c r="F4" s="7">
        <f>-(F22-1)*100</f>
        <v>-0.59199999999999253</v>
      </c>
      <c r="G4" s="8"/>
      <c r="I4" s="4">
        <v>45622</v>
      </c>
      <c r="J4" s="7">
        <f>-(J22-1)*100</f>
        <v>1.100000000000545E-2</v>
      </c>
      <c r="K4" s="8"/>
      <c r="M4" s="4">
        <v>45622</v>
      </c>
      <c r="N4" s="7">
        <f>-(N22-1)*100</f>
        <v>-0.26200000000000667</v>
      </c>
      <c r="O4" s="8"/>
      <c r="Q4" s="4">
        <v>45622</v>
      </c>
      <c r="R4" s="7">
        <f>-(R22-1)*100</f>
        <v>4.8000000000003595E-2</v>
      </c>
      <c r="S4" s="8"/>
      <c r="U4" s="4">
        <v>45622</v>
      </c>
      <c r="V4" s="7">
        <f>-(V22-1)*100</f>
        <v>1.4000000000002899E-2</v>
      </c>
      <c r="W4" s="8"/>
      <c r="Y4" s="4">
        <v>45622</v>
      </c>
      <c r="Z4" s="7">
        <f>-(Z22-1)*100</f>
        <v>0</v>
      </c>
      <c r="AA4" s="8"/>
    </row>
    <row r="5" spans="1:27" x14ac:dyDescent="0.25">
      <c r="A5" s="4">
        <v>47079</v>
      </c>
      <c r="B5">
        <v>0.99988999999999995</v>
      </c>
      <c r="C5">
        <v>1.0055499999999999</v>
      </c>
      <c r="E5" s="4">
        <v>45654</v>
      </c>
      <c r="F5" s="7">
        <f>F$21*100/2*(1+G5)+G5*100</f>
        <v>1.3914501257334448</v>
      </c>
      <c r="G5" s="8" cm="1">
        <f t="array" ref="G5">PRODUCT(1+INDEX($B$14:$B$112,MATCH(E5,$A$14:$A$112,1)-1)*DAY(E5)/DAY(EOMONTH(MONTH(E5),0)),1+INDEX($B$14:$B$112,MATCH(E5,$A$14:$A$112,1)-2),1+INDEX($B$14:$B$112,MATCH(E5,$A$14:$A$112,1)-3),1+INDEX($B$14:$B$112,MATCH(E5,$A$14:$A$112,1)-4),1+INDEX($B$14:$B$112,MATCH(E5,$A$14:$A$112,1)-5),1+INDEX($B$14:$B$112,MATCH(E5,$A$14:$A$112,1)-6),1+INDEX($B$14:$B$112,MATCH(E5,$A$14:$A$112,1)-7)*(DAY(EOMONTH(MONTH(E5),0))-DAY(E5))/DAY(EOMONTH(MONTH(E5),0)))-1</f>
        <v>5.8675607711651256E-3</v>
      </c>
      <c r="I5" s="4">
        <v>45799</v>
      </c>
      <c r="J5" s="7">
        <f>J$21*100/2*(1+K5)+K5*100</f>
        <v>1.0845132401680866</v>
      </c>
      <c r="K5" s="8" cm="1">
        <f t="array" ref="K5">PRODUCT(1+INDEX($B$14:$B$112,MATCH(I5,$A$14:$A$112,1)-1)*DAY(I5)/DAY(EOMONTH(MONTH(I5),0)),1+INDEX($B$14:$B$112,MATCH(I5,$A$14:$A$112,1)-2),1+INDEX($B$14:$B$112,MATCH(I5,$A$14:$A$112,1)-3),1+INDEX($B$14:$B$112,MATCH(I5,$A$14:$A$112,1)-4),1+INDEX($B$14:$B$112,MATCH(I5,$A$14:$A$112,1)-5),1+INDEX($B$14:$B$112,MATCH(I5,$A$14:$A$112,1)-6),1+INDEX($B$14:$B$112,MATCH(I5,$A$14:$A$112,1)-7)*(DAY(EOMONTH(MONTH(I5),0))-DAY(I5))/DAY(EOMONTH(MONTH(I5),0)))-1</f>
        <v>2.8225519857945081E-3</v>
      </c>
      <c r="M5" s="4">
        <v>45730</v>
      </c>
      <c r="N5" s="7">
        <f>N$21*100/2*(1+O5)+O5*100</f>
        <v>1.3931442733413839</v>
      </c>
      <c r="O5" s="8" cm="1">
        <f t="array" ref="O5">PRODUCT(1+INDEX($B$14:$B$112,MATCH(M5,$A$14:$A$112,1)-1)*DAY(M5)/DAY(EOMONTH(MONTH(M5),0)),1+INDEX($B$14:$B$112,MATCH(M5,$A$14:$A$112,1)-2),1+INDEX($B$14:$B$112,MATCH(M5,$A$14:$A$112,1)-3),1+INDEX($B$14:$B$112,MATCH(M5,$A$14:$A$112,1)-4),1+INDEX($B$14:$B$112,MATCH(M5,$A$14:$A$112,1)-5),1+INDEX($B$14:$B$112,MATCH(M5,$A$14:$A$112,1)-6),1+INDEX($B$14:$B$112,MATCH(M5,$A$14:$A$112,1)-7)*(DAY(EOMONTH(MONTH(M5),0))-DAY(M5))/DAY(EOMONTH(MONTH(M5),0)))-1</f>
        <v>3.8925175578354843E-3</v>
      </c>
      <c r="Q5" s="4">
        <v>45775</v>
      </c>
      <c r="R5" s="7">
        <f>R$21*100/2*(1+S5)+S5*100</f>
        <v>0.50413418111199015</v>
      </c>
      <c r="S5" s="8" cm="1">
        <f t="array" ref="S5">PRODUCT(1+INDEX($B$14:$B$112,MATCH(Q5,$A$14:$A$112,1)-1)*DAY(Q5)/DAY(EOMONTH(MONTH(Q5),0)),1+INDEX($B$14:$B$112,MATCH(Q5,$A$14:$A$112,1)-2),1+INDEX($B$14:$B$112,MATCH(Q5,$A$14:$A$112,1)-3),1+INDEX($B$14:$B$112,MATCH(Q5,$A$14:$A$112,1)-4),1+INDEX($B$14:$B$112,MATCH(Q5,$A$14:$A$112,1)-5),1+INDEX($B$14:$B$112,MATCH(Q5,$A$14:$A$112,1)-6),1+INDEX($B$14:$B$112,MATCH(Q5,$A$14:$A$112,1)-7)*(DAY(EOMONTH(MONTH(Q5),0))-DAY(Q5))/DAY(EOMONTH(MONTH(Q5),0)))-1</f>
        <v>1.7855388099874414E-3</v>
      </c>
      <c r="U5" s="4">
        <v>45798</v>
      </c>
      <c r="V5" s="7">
        <f>V$21*100/2*(1+W5)+W5*100</f>
        <v>0.55322237913262484</v>
      </c>
      <c r="W5" s="8" cm="1">
        <f t="array" ref="W5">PRODUCT(1+INDEX($B$14:$B$112,MATCH(U5,$A$14:$A$112,1)-1)*DAY(U5)/DAY(EOMONTH(MONTH(U5),0)),1+INDEX($B$14:$B$112,MATCH(U5,$A$14:$A$112,1)-2),1+INDEX($B$14:$B$112,MATCH(U5,$A$14:$A$112,1)-3),1+INDEX($B$14:$B$112,MATCH(U5,$A$14:$A$112,1)-4),1+INDEX($B$14:$B$112,MATCH(U5,$A$14:$A$112,1)-5),1+INDEX($B$14:$B$112,MATCH(U5,$A$14:$A$112,1)-6),1+INDEX($B$14:$B$112,MATCH(U5,$A$14:$A$112,1)-7)*(DAY(EOMONTH(MONTH(U5),0))-DAY(U5))/DAY(EOMONTH(MONTH(U5),0)))-1</f>
        <v>2.7745936587646458E-3</v>
      </c>
      <c r="Y5" s="4">
        <v>45803</v>
      </c>
      <c r="Z5" s="7">
        <f>Z$21*100/2*(1+AA5)+AA5*100</f>
        <v>1.0035497362927863</v>
      </c>
      <c r="AA5" s="8" cm="1">
        <f t="array" ref="AA5">PRODUCT(1+INDEX($B$14:$B$112,MATCH(Y5,$A$14:$A$112,1)-1)*DAY(Y5)/DAY(EOMONTH(MONTH(Y5),0)),1+INDEX($B$14:$B$112,MATCH(Y5,$A$14:$A$112,1)-2),1+INDEX($B$14:$B$112,MATCH(Y5,$A$14:$A$112,1)-3),1+INDEX($B$14:$B$112,MATCH(Y5,$A$14:$A$112,1)-4),1+INDEX($B$14:$B$112,MATCH(Y5,$A$14:$A$112,1)-5),1+INDEX($B$14:$B$112,MATCH(Y5,$A$14:$A$112,1)-6),1+INDEX($B$14:$B$112,MATCH(Y5,$A$14:$A$112,1)-7)*(DAY(EOMONTH(MONTH(Y5),0))-DAY(Y5))/DAY(EOMONTH(MONTH(Y5),0)))-1</f>
        <v>3.0143965868201228E-3</v>
      </c>
    </row>
    <row r="6" spans="1:27" x14ac:dyDescent="0.25">
      <c r="A6" s="4">
        <v>46826</v>
      </c>
      <c r="B6">
        <v>1.0026200000000001</v>
      </c>
      <c r="E6" s="4">
        <v>45836</v>
      </c>
      <c r="F6" s="7">
        <f>F$21*100/2*(1+G6)+G6*100</f>
        <v>1.1873980948492742</v>
      </c>
      <c r="G6" s="8" cm="1">
        <f t="array" ref="G6">PRODUCT(1+INDEX($B$14:$B$112,MATCH(E6,$A$14:$A$112,1)-1)*DAY(E6)/DAY(EOMONTH(MONTH(E6),0)),1+INDEX($B$14:$B$112,MATCH(E6,$A$14:$A$112,1)-2),1+INDEX($B$14:$B$112,MATCH(E6,$A$14:$A$112,1)-3),1+INDEX($B$14:$B$112,MATCH(E6,$A$14:$A$112,1)-4),1+INDEX($B$14:$B$112,MATCH(E6,$A$14:$A$112,1)-5),1+INDEX($B$14:$B$112,MATCH(E6,$A$14:$A$112,1)-6),1+INDEX($B$14:$B$112,MATCH(E6,$A$14:$A$112,1)-7)*(DAY(EOMONTH(MONTH(E6),0))-DAY(E6))/DAY(EOMONTH(MONTH(E6),0)))-1</f>
        <v>3.8432350679491467E-3</v>
      </c>
      <c r="I6" s="4">
        <v>45983</v>
      </c>
      <c r="J6" s="7">
        <f>J$21*100/2*(1+K6)+K6*100</f>
        <v>1.1937681771034128</v>
      </c>
      <c r="K6" s="8" cm="1">
        <f t="array" ref="K6">PRODUCT(1+INDEX($B$14:$B$112,MATCH(I6,$A$14:$A$112,1)-1)*DAY(I6)/DAY(EOMONTH(MONTH(I6),0)),1+INDEX($B$14:$B$112,MATCH(I6,$A$14:$A$112,1)-2),1+INDEX($B$14:$B$112,MATCH(I6,$A$14:$A$112,1)-3),1+INDEX($B$14:$B$112,MATCH(I6,$A$14:$A$112,1)-4),1+INDEX($B$14:$B$112,MATCH(I6,$A$14:$A$112,1)-5),1+INDEX($B$14:$B$112,MATCH(I6,$A$14:$A$112,1)-6),1+INDEX($B$14:$B$112,MATCH(I6,$A$14:$A$112,1)-7)*(DAY(EOMONTH(MONTH(I6),0))-DAY(I6))/DAY(EOMONTH(MONTH(I6),0)))-1</f>
        <v>3.9064303284068735E-3</v>
      </c>
      <c r="M6" s="4">
        <v>45914</v>
      </c>
      <c r="N6" s="7">
        <f>N$21*100/2*(1+O6)+O6*100</f>
        <v>1.3945512451197815</v>
      </c>
      <c r="O6" s="8" cm="1">
        <f t="array" ref="O6">PRODUCT(1+INDEX($B$14:$B$112,MATCH(M6,$A$14:$A$112,1)-1)*DAY(M6)/DAY(EOMONTH(MONTH(M6),0)),1+INDEX($B$14:$B$112,MATCH(M6,$A$14:$A$112,1)-2),1+INDEX($B$14:$B$112,MATCH(M6,$A$14:$A$112,1)-3),1+INDEX($B$14:$B$112,MATCH(M6,$A$14:$A$112,1)-4),1+INDEX($B$14:$B$112,MATCH(M6,$A$14:$A$112,1)-5),1+INDEX($B$14:$B$112,MATCH(M6,$A$14:$A$112,1)-6),1+INDEX($B$14:$B$112,MATCH(M6,$A$14:$A$112,1)-7)*(DAY(EOMONTH(MONTH(M6),0))-DAY(M6))/DAY(EOMONTH(MONTH(M6),0)))-1</f>
        <v>3.9064479714829847E-3</v>
      </c>
      <c r="Q6" s="4">
        <v>45958</v>
      </c>
      <c r="R6" s="7">
        <f>R$21*100/2*(1+S6)+S6*100</f>
        <v>0.71690757807872507</v>
      </c>
      <c r="S6" s="8" cm="1">
        <f t="array" ref="S6">PRODUCT(1+INDEX($B$14:$B$112,MATCH(Q6,$A$14:$A$112,1)-1)*DAY(Q6)/DAY(EOMONTH(MONTH(Q6),0)),1+INDEX($B$14:$B$112,MATCH(Q6,$A$14:$A$112,1)-2),1+INDEX($B$14:$B$112,MATCH(Q6,$A$14:$A$112,1)-3),1+INDEX($B$14:$B$112,MATCH(Q6,$A$14:$A$112,1)-4),1+INDEX($B$14:$B$112,MATCH(Q6,$A$14:$A$112,1)-5),1+INDEX($B$14:$B$112,MATCH(Q6,$A$14:$A$112,1)-6),1+INDEX($B$14:$B$112,MATCH(Q6,$A$14:$A$112,1)-7)*(DAY(EOMONTH(MONTH(Q6),0))-DAY(Q6))/DAY(EOMONTH(MONTH(Q6),0)))-1</f>
        <v>3.9063800456389242E-3</v>
      </c>
      <c r="U6" s="4">
        <v>45982</v>
      </c>
      <c r="V6" s="7">
        <f>V$21*100/2*(1+W6)+W6*100</f>
        <v>0.6667178319288074</v>
      </c>
      <c r="W6" s="8" cm="1">
        <f t="array" ref="W6">PRODUCT(1+INDEX($B$14:$B$112,MATCH(U6,$A$14:$A$112,1)-1)*DAY(U6)/DAY(EOMONTH(MONTH(U6),0)),1+INDEX($B$14:$B$112,MATCH(U6,$A$14:$A$112,1)-2),1+INDEX($B$14:$B$112,MATCH(U6,$A$14:$A$112,1)-3),1+INDEX($B$14:$B$112,MATCH(U6,$A$14:$A$112,1)-4),1+INDEX($B$14:$B$112,MATCH(U6,$A$14:$A$112,1)-5),1+INDEX($B$14:$B$112,MATCH(U6,$A$14:$A$112,1)-6),1+INDEX($B$14:$B$112,MATCH(U6,$A$14:$A$112,1)-7)*(DAY(EOMONTH(MONTH(U6),0))-DAY(U6))/DAY(EOMONTH(MONTH(U6),0)))-1</f>
        <v>3.9064356213294182E-3</v>
      </c>
      <c r="Y6" s="4">
        <v>45803</v>
      </c>
      <c r="Z6" s="7">
        <v>100</v>
      </c>
      <c r="AA6" s="8" cm="1">
        <f t="array" ref="AA6">PRODUCT(1+INDEX($B$14:$B$112,MATCH(Y6,$A$14:$A$112,1)-1)*DAY(Y6)/DAY(EOMONTH(MONTH(Y6),0)),1+INDEX($B$14:$B$112,MATCH(Y6,$A$14:$A$112,1)-2),1+INDEX($B$14:$B$112,MATCH(Y6,$A$14:$A$112,1)-3),1+INDEX($B$14:$B$112,MATCH(Y6,$A$14:$A$112,1)-4),1+INDEX($B$14:$B$112,MATCH(Y6,$A$14:$A$112,1)-5),1+INDEX($B$14:$B$112,MATCH(Y6,$A$14:$A$112,1)-6),1+INDEX($B$14:$B$112,MATCH(Y6,$A$14:$A$112,1)-7)*(DAY(EOMONTH(MONTH(Y6),0))-DAY(Y6))/DAY(EOMONTH(MONTH(Y6),0)))-1</f>
        <v>3.0143965868201228E-3</v>
      </c>
    </row>
    <row r="7" spans="1:27" x14ac:dyDescent="0.25">
      <c r="A7" s="4">
        <v>46688</v>
      </c>
      <c r="B7">
        <v>0.99951999999999996</v>
      </c>
      <c r="E7" s="4">
        <v>46019</v>
      </c>
      <c r="F7" s="7">
        <f>F$21*100/2*(1+G7)+G7*100</f>
        <v>1.1937631086004035</v>
      </c>
      <c r="G7" s="8" cm="1">
        <f t="array" ref="G7">PRODUCT(1+INDEX($B$14:$B$112,MATCH(E7,$A$14:$A$112,1)-1)*DAY(E7)/DAY(EOMONTH(MONTH(E7),0)),1+INDEX($B$14:$B$112,MATCH(E7,$A$14:$A$112,1)-2),1+INDEX($B$14:$B$112,MATCH(E7,$A$14:$A$112,1)-3),1+INDEX($B$14:$B$112,MATCH(E7,$A$14:$A$112,1)-4),1+INDEX($B$14:$B$112,MATCH(E7,$A$14:$A$112,1)-5),1+INDEX($B$14:$B$112,MATCH(E7,$A$14:$A$112,1)-6),1+INDEX($B$14:$B$112,MATCH(E7,$A$14:$A$112,1)-7)*(DAY(EOMONTH(MONTH(E7),0))-DAY(E7))/DAY(EOMONTH(MONTH(E7),0)))-1</f>
        <v>3.9063800456389242E-3</v>
      </c>
      <c r="I7" s="4">
        <v>46164</v>
      </c>
      <c r="J7" s="7">
        <f>J$21*100/2*(1+K7)+K7*100</f>
        <v>1.1937681771034128</v>
      </c>
      <c r="K7" s="8" cm="1">
        <f t="array" ref="K7">PRODUCT(1+INDEX($B$14:$B$112,MATCH(I7,$A$14:$A$112,1)-1)*DAY(I7)/DAY(EOMONTH(MONTH(I7),0)),1+INDEX($B$14:$B$112,MATCH(I7,$A$14:$A$112,1)-2),1+INDEX($B$14:$B$112,MATCH(I7,$A$14:$A$112,1)-3),1+INDEX($B$14:$B$112,MATCH(I7,$A$14:$A$112,1)-4),1+INDEX($B$14:$B$112,MATCH(I7,$A$14:$A$112,1)-5),1+INDEX($B$14:$B$112,MATCH(I7,$A$14:$A$112,1)-6),1+INDEX($B$14:$B$112,MATCH(I7,$A$14:$A$112,1)-7)*(DAY(EOMONTH(MONTH(I7),0))-DAY(I7))/DAY(EOMONTH(MONTH(I7),0)))-1</f>
        <v>3.9064303284068735E-3</v>
      </c>
      <c r="M7" s="4">
        <v>46095</v>
      </c>
      <c r="N7" s="7">
        <f>N$21*100/2*(1+O7)+O7*100</f>
        <v>1.3945512451197815</v>
      </c>
      <c r="O7" s="8" cm="1">
        <f t="array" ref="O7">PRODUCT(1+INDEX($B$14:$B$112,MATCH(M7,$A$14:$A$112,1)-1)*DAY(M7)/DAY(EOMONTH(MONTH(M7),0)),1+INDEX($B$14:$B$112,MATCH(M7,$A$14:$A$112,1)-2),1+INDEX($B$14:$B$112,MATCH(M7,$A$14:$A$112,1)-3),1+INDEX($B$14:$B$112,MATCH(M7,$A$14:$A$112,1)-4),1+INDEX($B$14:$B$112,MATCH(M7,$A$14:$A$112,1)-5),1+INDEX($B$14:$B$112,MATCH(M7,$A$14:$A$112,1)-6),1+INDEX($B$14:$B$112,MATCH(M7,$A$14:$A$112,1)-7)*(DAY(EOMONTH(MONTH(M7),0))-DAY(M7))/DAY(EOMONTH(MONTH(M7),0)))-1</f>
        <v>3.9064479714829847E-3</v>
      </c>
      <c r="Q7" s="4">
        <v>46140</v>
      </c>
      <c r="R7" s="7">
        <f>R$21*100/2*(1+S7)+S7*100</f>
        <v>0.71690757807872507</v>
      </c>
      <c r="S7" s="8" cm="1">
        <f t="array" ref="S7">PRODUCT(1+INDEX($B$14:$B$112,MATCH(Q7,$A$14:$A$112,1)-1)*DAY(Q7)/DAY(EOMONTH(MONTH(Q7),0)),1+INDEX($B$14:$B$112,MATCH(Q7,$A$14:$A$112,1)-2),1+INDEX($B$14:$B$112,MATCH(Q7,$A$14:$A$112,1)-3),1+INDEX($B$14:$B$112,MATCH(Q7,$A$14:$A$112,1)-4),1+INDEX($B$14:$B$112,MATCH(Q7,$A$14:$A$112,1)-5),1+INDEX($B$14:$B$112,MATCH(Q7,$A$14:$A$112,1)-6),1+INDEX($B$14:$B$112,MATCH(Q7,$A$14:$A$112,1)-7)*(DAY(EOMONTH(MONTH(Q7),0))-DAY(Q7))/DAY(EOMONTH(MONTH(Q7),0)))-1</f>
        <v>3.9063800456389242E-3</v>
      </c>
      <c r="U7" s="4">
        <v>46163</v>
      </c>
      <c r="V7" s="7">
        <f>V$21*100/2*(1+W7)+W7*100</f>
        <v>0.6667178319288074</v>
      </c>
      <c r="W7" s="8" cm="1">
        <f t="array" ref="W7">PRODUCT(1+INDEX($B$14:$B$112,MATCH(U7,$A$14:$A$112,1)-1)*DAY(U7)/DAY(EOMONTH(MONTH(U7),0)),1+INDEX($B$14:$B$112,MATCH(U7,$A$14:$A$112,1)-2),1+INDEX($B$14:$B$112,MATCH(U7,$A$14:$A$112,1)-3),1+INDEX($B$14:$B$112,MATCH(U7,$A$14:$A$112,1)-4),1+INDEX($B$14:$B$112,MATCH(U7,$A$14:$A$112,1)-5),1+INDEX($B$14:$B$112,MATCH(U7,$A$14:$A$112,1)-6),1+INDEX($B$14:$B$112,MATCH(U7,$A$14:$A$112,1)-7)*(DAY(EOMONTH(MONTH(U7),0))-DAY(U7))/DAY(EOMONTH(MONTH(U7),0)))-1</f>
        <v>3.9064356213294182E-3</v>
      </c>
      <c r="Y7" s="4">
        <v>45803</v>
      </c>
      <c r="Z7" s="9">
        <f>IF(bonus,100*0.8%,0)</f>
        <v>0.8</v>
      </c>
      <c r="AA7" s="8"/>
    </row>
    <row r="8" spans="1:27" x14ac:dyDescent="0.25">
      <c r="A8" s="4">
        <v>46163</v>
      </c>
      <c r="B8">
        <v>0.99985999999999997</v>
      </c>
      <c r="C8">
        <v>1.0056</v>
      </c>
      <c r="E8" s="4">
        <v>46201</v>
      </c>
      <c r="F8" s="7">
        <f>F$21*100/2*(1+G8)+G8*100</f>
        <v>1.1937631086004035</v>
      </c>
      <c r="G8" s="8" cm="1">
        <f t="array" ref="G8">PRODUCT(1+INDEX($B$14:$B$112,MATCH(E8,$A$14:$A$112,1)-1)*DAY(E8)/DAY(EOMONTH(MONTH(E8),0)),1+INDEX($B$14:$B$112,MATCH(E8,$A$14:$A$112,1)-2),1+INDEX($B$14:$B$112,MATCH(E8,$A$14:$A$112,1)-3),1+INDEX($B$14:$B$112,MATCH(E8,$A$14:$A$112,1)-4),1+INDEX($B$14:$B$112,MATCH(E8,$A$14:$A$112,1)-5),1+INDEX($B$14:$B$112,MATCH(E8,$A$14:$A$112,1)-6),1+INDEX($B$14:$B$112,MATCH(E8,$A$14:$A$112,1)-7)*(DAY(EOMONTH(MONTH(E8),0))-DAY(E8))/DAY(EOMONTH(MONTH(E8),0)))-1</f>
        <v>3.9063800456389242E-3</v>
      </c>
      <c r="I8" s="4">
        <v>46348</v>
      </c>
      <c r="J8" s="7">
        <f>J$21*100/2*(1+K8)+K8*100</f>
        <v>1.1937681771034128</v>
      </c>
      <c r="K8" s="8" cm="1">
        <f t="array" ref="K8">PRODUCT(1+INDEX($B$14:$B$112,MATCH(I8,$A$14:$A$112,1)-1)*DAY(I8)/DAY(EOMONTH(MONTH(I8),0)),1+INDEX($B$14:$B$112,MATCH(I8,$A$14:$A$112,1)-2),1+INDEX($B$14:$B$112,MATCH(I8,$A$14:$A$112,1)-3),1+INDEX($B$14:$B$112,MATCH(I8,$A$14:$A$112,1)-4),1+INDEX($B$14:$B$112,MATCH(I8,$A$14:$A$112,1)-5),1+INDEX($B$14:$B$112,MATCH(I8,$A$14:$A$112,1)-6),1+INDEX($B$14:$B$112,MATCH(I8,$A$14:$A$112,1)-7)*(DAY(EOMONTH(MONTH(I8),0))-DAY(I8))/DAY(EOMONTH(MONTH(I8),0)))-1</f>
        <v>3.9064303284068735E-3</v>
      </c>
      <c r="M8" s="4">
        <v>46279</v>
      </c>
      <c r="N8" s="7">
        <f>N$21*100/2*(1+O8)+O8*100</f>
        <v>1.3945512451197815</v>
      </c>
      <c r="O8" s="8" cm="1">
        <f t="array" ref="O8">PRODUCT(1+INDEX($B$14:$B$112,MATCH(M8,$A$14:$A$112,1)-1)*DAY(M8)/DAY(EOMONTH(MONTH(M8),0)),1+INDEX($B$14:$B$112,MATCH(M8,$A$14:$A$112,1)-2),1+INDEX($B$14:$B$112,MATCH(M8,$A$14:$A$112,1)-3),1+INDEX($B$14:$B$112,MATCH(M8,$A$14:$A$112,1)-4),1+INDEX($B$14:$B$112,MATCH(M8,$A$14:$A$112,1)-5),1+INDEX($B$14:$B$112,MATCH(M8,$A$14:$A$112,1)-6),1+INDEX($B$14:$B$112,MATCH(M8,$A$14:$A$112,1)-7)*(DAY(EOMONTH(MONTH(M8),0))-DAY(M8))/DAY(EOMONTH(MONTH(M8),0)))-1</f>
        <v>3.9064479714829847E-3</v>
      </c>
      <c r="Q8" s="4">
        <v>46323</v>
      </c>
      <c r="R8" s="7">
        <f>R$21*100/2*(1+S8)+S8*100</f>
        <v>0.71690757807872507</v>
      </c>
      <c r="S8" s="8" cm="1">
        <f t="array" ref="S8">PRODUCT(1+INDEX($B$14:$B$112,MATCH(Q8,$A$14:$A$112,1)-1)*DAY(Q8)/DAY(EOMONTH(MONTH(Q8),0)),1+INDEX($B$14:$B$112,MATCH(Q8,$A$14:$A$112,1)-2),1+INDEX($B$14:$B$112,MATCH(Q8,$A$14:$A$112,1)-3),1+INDEX($B$14:$B$112,MATCH(Q8,$A$14:$A$112,1)-4),1+INDEX($B$14:$B$112,MATCH(Q8,$A$14:$A$112,1)-5),1+INDEX($B$14:$B$112,MATCH(Q8,$A$14:$A$112,1)-6),1+INDEX($B$14:$B$112,MATCH(Q8,$A$14:$A$112,1)-7)*(DAY(EOMONTH(MONTH(Q8),0))-DAY(Q8))/DAY(EOMONTH(MONTH(Q8),0)))-1</f>
        <v>3.9063800456389242E-3</v>
      </c>
      <c r="U8" s="4">
        <v>46163</v>
      </c>
      <c r="V8" s="7">
        <v>100</v>
      </c>
      <c r="W8" s="8"/>
      <c r="Y8" s="4"/>
      <c r="Z8" s="7"/>
      <c r="AA8" s="8"/>
    </row>
    <row r="9" spans="1:27" x14ac:dyDescent="0.25">
      <c r="A9" s="4">
        <v>45803</v>
      </c>
      <c r="B9" s="2">
        <v>1</v>
      </c>
      <c r="C9">
        <v>1.0053300000000001</v>
      </c>
      <c r="E9" s="4">
        <v>46384</v>
      </c>
      <c r="F9" s="7">
        <f>F$21*100/2*(1+G9)+G9*100</f>
        <v>1.1937631086004035</v>
      </c>
      <c r="G9" s="8" cm="1">
        <f t="array" ref="G9">PRODUCT(1+INDEX($B$14:$B$112,MATCH(E9,$A$14:$A$112,1)-1)*DAY(E9)/DAY(EOMONTH(MONTH(E9),0)),1+INDEX($B$14:$B$112,MATCH(E9,$A$14:$A$112,1)-2),1+INDEX($B$14:$B$112,MATCH(E9,$A$14:$A$112,1)-3),1+INDEX($B$14:$B$112,MATCH(E9,$A$14:$A$112,1)-4),1+INDEX($B$14:$B$112,MATCH(E9,$A$14:$A$112,1)-5),1+INDEX($B$14:$B$112,MATCH(E9,$A$14:$A$112,1)-6),1+INDEX($B$14:$B$112,MATCH(E9,$A$14:$A$112,1)-7)*(DAY(EOMONTH(MONTH(E9),0))-DAY(E9))/DAY(EOMONTH(MONTH(E9),0)))-1</f>
        <v>3.9063800456389242E-3</v>
      </c>
      <c r="I9" s="4">
        <v>46529</v>
      </c>
      <c r="J9" s="7">
        <f>J$21*100/2*(1+K9)+K9*100</f>
        <v>1.1937681771034128</v>
      </c>
      <c r="K9" s="8" cm="1">
        <f t="array" ref="K9">PRODUCT(1+INDEX($B$14:$B$112,MATCH(I9,$A$14:$A$112,1)-1)*DAY(I9)/DAY(EOMONTH(MONTH(I9),0)),1+INDEX($B$14:$B$112,MATCH(I9,$A$14:$A$112,1)-2),1+INDEX($B$14:$B$112,MATCH(I9,$A$14:$A$112,1)-3),1+INDEX($B$14:$B$112,MATCH(I9,$A$14:$A$112,1)-4),1+INDEX($B$14:$B$112,MATCH(I9,$A$14:$A$112,1)-5),1+INDEX($B$14:$B$112,MATCH(I9,$A$14:$A$112,1)-6),1+INDEX($B$14:$B$112,MATCH(I9,$A$14:$A$112,1)-7)*(DAY(EOMONTH(MONTH(I9),0))-DAY(I9))/DAY(EOMONTH(MONTH(I9),0)))-1</f>
        <v>3.9064303284068735E-3</v>
      </c>
      <c r="M9" s="4">
        <v>46460</v>
      </c>
      <c r="N9" s="7">
        <f>N$21*100/2*(1+O9)+O9*100</f>
        <v>1.3945512451197815</v>
      </c>
      <c r="O9" s="8" cm="1">
        <f t="array" ref="O9">PRODUCT(1+INDEX($B$14:$B$112,MATCH(M9,$A$14:$A$112,1)-1)*DAY(M9)/DAY(EOMONTH(MONTH(M9),0)),1+INDEX($B$14:$B$112,MATCH(M9,$A$14:$A$112,1)-2),1+INDEX($B$14:$B$112,MATCH(M9,$A$14:$A$112,1)-3),1+INDEX($B$14:$B$112,MATCH(M9,$A$14:$A$112,1)-4),1+INDEX($B$14:$B$112,MATCH(M9,$A$14:$A$112,1)-5),1+INDEX($B$14:$B$112,MATCH(M9,$A$14:$A$112,1)-6),1+INDEX($B$14:$B$112,MATCH(M9,$A$14:$A$112,1)-7)*(DAY(EOMONTH(MONTH(M9),0))-DAY(M9))/DAY(EOMONTH(MONTH(M9),0)))-1</f>
        <v>3.9064479714829847E-3</v>
      </c>
      <c r="Q9" s="4">
        <v>46505</v>
      </c>
      <c r="R9" s="7">
        <f>R$21*100/2*(1+S9)+S9*100</f>
        <v>0.71690757807872507</v>
      </c>
      <c r="S9" s="8" cm="1">
        <f t="array" ref="S9">PRODUCT(1+INDEX($B$14:$B$112,MATCH(Q9,$A$14:$A$112,1)-1)*DAY(Q9)/DAY(EOMONTH(MONTH(Q9),0)),1+INDEX($B$14:$B$112,MATCH(Q9,$A$14:$A$112,1)-2),1+INDEX($B$14:$B$112,MATCH(Q9,$A$14:$A$112,1)-3),1+INDEX($B$14:$B$112,MATCH(Q9,$A$14:$A$112,1)-4),1+INDEX($B$14:$B$112,MATCH(Q9,$A$14:$A$112,1)-5),1+INDEX($B$14:$B$112,MATCH(Q9,$A$14:$A$112,1)-6),1+INDEX($B$14:$B$112,MATCH(Q9,$A$14:$A$112,1)-7)*(DAY(EOMONTH(MONTH(Q9),0))-DAY(Q9))/DAY(EOMONTH(MONTH(Q9),0)))-1</f>
        <v>3.9063800456389242E-3</v>
      </c>
      <c r="U9" s="4">
        <v>46163</v>
      </c>
      <c r="V9" s="9">
        <f>IF(bonus,100*0.4%,0)</f>
        <v>0.4</v>
      </c>
      <c r="W9" s="8"/>
      <c r="Y9" s="4"/>
      <c r="Z9" s="10"/>
      <c r="AA9" s="8"/>
    </row>
    <row r="10" spans="1:27" x14ac:dyDescent="0.25">
      <c r="E10" s="4">
        <v>46566</v>
      </c>
      <c r="F10" s="7">
        <f>F$21*100/2*(1+G10)+G10*100</f>
        <v>1.1937631086004035</v>
      </c>
      <c r="G10" s="8" cm="1">
        <f t="array" ref="G10">PRODUCT(1+INDEX($B$14:$B$112,MATCH(E10,$A$14:$A$112,1)-1)*DAY(E10)/DAY(EOMONTH(MONTH(E10),0)),1+INDEX($B$14:$B$112,MATCH(E10,$A$14:$A$112,1)-2),1+INDEX($B$14:$B$112,MATCH(E10,$A$14:$A$112,1)-3),1+INDEX($B$14:$B$112,MATCH(E10,$A$14:$A$112,1)-4),1+INDEX($B$14:$B$112,MATCH(E10,$A$14:$A$112,1)-5),1+INDEX($B$14:$B$112,MATCH(E10,$A$14:$A$112,1)-6),1+INDEX($B$14:$B$112,MATCH(E10,$A$14:$A$112,1)-7)*(DAY(EOMONTH(MONTH(E10),0))-DAY(E10))/DAY(EOMONTH(MONTH(E10),0)))-1</f>
        <v>3.9063800456389242E-3</v>
      </c>
      <c r="I10" s="4">
        <v>46713</v>
      </c>
      <c r="J10" s="7">
        <f>J$21*100/2*(1+K10)+K10*100</f>
        <v>1.1937681771034128</v>
      </c>
      <c r="K10" s="8" cm="1">
        <f t="array" ref="K10">PRODUCT(1+INDEX($B$14:$B$112,MATCH(I10,$A$14:$A$112,1)-1)*DAY(I10)/DAY(EOMONTH(MONTH(I10),0)),1+INDEX($B$14:$B$112,MATCH(I10,$A$14:$A$112,1)-2),1+INDEX($B$14:$B$112,MATCH(I10,$A$14:$A$112,1)-3),1+INDEX($B$14:$B$112,MATCH(I10,$A$14:$A$112,1)-4),1+INDEX($B$14:$B$112,MATCH(I10,$A$14:$A$112,1)-5),1+INDEX($B$14:$B$112,MATCH(I10,$A$14:$A$112,1)-6),1+INDEX($B$14:$B$112,MATCH(I10,$A$14:$A$112,1)-7)*(DAY(EOMONTH(MONTH(I10),0))-DAY(I10))/DAY(EOMONTH(MONTH(I10),0)))-1</f>
        <v>3.9064303284068735E-3</v>
      </c>
      <c r="M10" s="4">
        <v>46644</v>
      </c>
      <c r="N10" s="7">
        <f>N$21*100/2*(1+O10)+O10*100</f>
        <v>1.3945512451197815</v>
      </c>
      <c r="O10" s="8" cm="1">
        <f t="array" ref="O10">PRODUCT(1+INDEX($B$14:$B$112,MATCH(M10,$A$14:$A$112,1)-1)*DAY(M10)/DAY(EOMONTH(MONTH(M10),0)),1+INDEX($B$14:$B$112,MATCH(M10,$A$14:$A$112,1)-2),1+INDEX($B$14:$B$112,MATCH(M10,$A$14:$A$112,1)-3),1+INDEX($B$14:$B$112,MATCH(M10,$A$14:$A$112,1)-4),1+INDEX($B$14:$B$112,MATCH(M10,$A$14:$A$112,1)-5),1+INDEX($B$14:$B$112,MATCH(M10,$A$14:$A$112,1)-6),1+INDEX($B$14:$B$112,MATCH(M10,$A$14:$A$112,1)-7)*(DAY(EOMONTH(MONTH(M10),0))-DAY(M10))/DAY(EOMONTH(MONTH(M10),0)))-1</f>
        <v>3.9064479714829847E-3</v>
      </c>
      <c r="Q10" s="4">
        <v>46688</v>
      </c>
      <c r="R10" s="7">
        <f>R$21*100/2*(1+S10)+S10*100</f>
        <v>0.71690757807872507</v>
      </c>
      <c r="S10" s="8" cm="1">
        <f t="array" ref="S10">PRODUCT(1+INDEX($B$14:$B$112,MATCH(Q10,$A$14:$A$112,1)-1)*DAY(Q10)/DAY(EOMONTH(MONTH(Q10),0)),1+INDEX($B$14:$B$112,MATCH(Q10,$A$14:$A$112,1)-2),1+INDEX($B$14:$B$112,MATCH(Q10,$A$14:$A$112,1)-3),1+INDEX($B$14:$B$112,MATCH(Q10,$A$14:$A$112,1)-4),1+INDEX($B$14:$B$112,MATCH(Q10,$A$14:$A$112,1)-5),1+INDEX($B$14:$B$112,MATCH(Q10,$A$14:$A$112,1)-6),1+INDEX($B$14:$B$112,MATCH(Q10,$A$14:$A$112,1)-7)*(DAY(EOMONTH(MONTH(Q10),0))-DAY(Q10))/DAY(EOMONTH(MONTH(Q10),0)))-1</f>
        <v>3.9063800456389242E-3</v>
      </c>
      <c r="U10" s="4"/>
      <c r="V10" s="7"/>
      <c r="W10" s="8"/>
      <c r="Y10" s="4"/>
      <c r="Z10" s="10"/>
      <c r="AA10" s="8"/>
    </row>
    <row r="11" spans="1:27" x14ac:dyDescent="0.25">
      <c r="E11" s="4">
        <v>46749</v>
      </c>
      <c r="F11" s="7">
        <f>F$21*100/2*(1+G11)+G11*100</f>
        <v>1.1937631086004035</v>
      </c>
      <c r="G11" s="8" cm="1">
        <f t="array" ref="G11">PRODUCT(1+INDEX($B$14:$B$112,MATCH(E11,$A$14:$A$112,1)-1)*DAY(E11)/DAY(EOMONTH(MONTH(E11),0)),1+INDEX($B$14:$B$112,MATCH(E11,$A$14:$A$112,1)-2),1+INDEX($B$14:$B$112,MATCH(E11,$A$14:$A$112,1)-3),1+INDEX($B$14:$B$112,MATCH(E11,$A$14:$A$112,1)-4),1+INDEX($B$14:$B$112,MATCH(E11,$A$14:$A$112,1)-5),1+INDEX($B$14:$B$112,MATCH(E11,$A$14:$A$112,1)-6),1+INDEX($B$14:$B$112,MATCH(E11,$A$14:$A$112,1)-7)*(DAY(EOMONTH(MONTH(E11),0))-DAY(E11))/DAY(EOMONTH(MONTH(E11),0)))-1</f>
        <v>3.9063800456389242E-3</v>
      </c>
      <c r="I11" s="4">
        <v>46895</v>
      </c>
      <c r="J11" s="7">
        <f>J$21*100/2*(1+K11)+K11*100</f>
        <v>1.1937681771034128</v>
      </c>
      <c r="K11" s="8" cm="1">
        <f t="array" ref="K11">PRODUCT(1+INDEX($B$14:$B$112,MATCH(I11,$A$14:$A$112,1)-1)*DAY(I11)/DAY(EOMONTH(MONTH(I11),0)),1+INDEX($B$14:$B$112,MATCH(I11,$A$14:$A$112,1)-2),1+INDEX($B$14:$B$112,MATCH(I11,$A$14:$A$112,1)-3),1+INDEX($B$14:$B$112,MATCH(I11,$A$14:$A$112,1)-4),1+INDEX($B$14:$B$112,MATCH(I11,$A$14:$A$112,1)-5),1+INDEX($B$14:$B$112,MATCH(I11,$A$14:$A$112,1)-6),1+INDEX($B$14:$B$112,MATCH(I11,$A$14:$A$112,1)-7)*(DAY(EOMONTH(MONTH(I11),0))-DAY(I11))/DAY(EOMONTH(MONTH(I11),0)))-1</f>
        <v>3.9064303284068735E-3</v>
      </c>
      <c r="M11" s="4">
        <v>46826</v>
      </c>
      <c r="N11" s="7">
        <f>N$21*100/2*(1+O11)+O11*100</f>
        <v>1.3945512451197815</v>
      </c>
      <c r="O11" s="8" cm="1">
        <f t="array" ref="O11">PRODUCT(1+INDEX($B$14:$B$112,MATCH(M11,$A$14:$A$112,1)-1)*DAY(M11)/DAY(EOMONTH(MONTH(M11),0)),1+INDEX($B$14:$B$112,MATCH(M11,$A$14:$A$112,1)-2),1+INDEX($B$14:$B$112,MATCH(M11,$A$14:$A$112,1)-3),1+INDEX($B$14:$B$112,MATCH(M11,$A$14:$A$112,1)-4),1+INDEX($B$14:$B$112,MATCH(M11,$A$14:$A$112,1)-5),1+INDEX($B$14:$B$112,MATCH(M11,$A$14:$A$112,1)-6),1+INDEX($B$14:$B$112,MATCH(M11,$A$14:$A$112,1)-7)*(DAY(EOMONTH(MONTH(M11),0))-DAY(M11))/DAY(EOMONTH(MONTH(M11),0)))-1</f>
        <v>3.9064479714829847E-3</v>
      </c>
      <c r="Q11" s="4">
        <v>46688</v>
      </c>
      <c r="R11" s="7">
        <v>100</v>
      </c>
      <c r="S11" s="8"/>
      <c r="U11" s="4"/>
      <c r="V11" s="10"/>
      <c r="W11" s="8"/>
      <c r="Y11" s="4"/>
      <c r="Z11" s="10"/>
      <c r="AA11" s="8"/>
    </row>
    <row r="12" spans="1:27" x14ac:dyDescent="0.25">
      <c r="E12" s="4">
        <v>46932</v>
      </c>
      <c r="F12" s="7">
        <f>F$21*100/2*(1+G12)+G12*100</f>
        <v>1.1937631086004035</v>
      </c>
      <c r="G12" s="8" cm="1">
        <f t="array" ref="G12">PRODUCT(1+INDEX($B$14:$B$112,MATCH(E12,$A$14:$A$112,1)-1)*DAY(E12)/DAY(EOMONTH(MONTH(E12),0)),1+INDEX($B$14:$B$112,MATCH(E12,$A$14:$A$112,1)-2),1+INDEX($B$14:$B$112,MATCH(E12,$A$14:$A$112,1)-3),1+INDEX($B$14:$B$112,MATCH(E12,$A$14:$A$112,1)-4),1+INDEX($B$14:$B$112,MATCH(E12,$A$14:$A$112,1)-5),1+INDEX($B$14:$B$112,MATCH(E12,$A$14:$A$112,1)-6),1+INDEX($B$14:$B$112,MATCH(E12,$A$14:$A$112,1)-7)*(DAY(EOMONTH(MONTH(E12),0))-DAY(E12))/DAY(EOMONTH(MONTH(E12),0)))-1</f>
        <v>3.9063800456389242E-3</v>
      </c>
      <c r="I12" s="4">
        <v>47079</v>
      </c>
      <c r="J12" s="7">
        <f>J$21*100/2*(1+K12)+K12*100</f>
        <v>1.1937681771034128</v>
      </c>
      <c r="K12" s="8" cm="1">
        <f t="array" ref="K12">PRODUCT(1+INDEX($B$14:$B$112,MATCH(I12,$A$14:$A$112,1)-1)*DAY(I12)/DAY(EOMONTH(MONTH(I12),0)),1+INDEX($B$14:$B$112,MATCH(I12,$A$14:$A$112,1)-2),1+INDEX($B$14:$B$112,MATCH(I12,$A$14:$A$112,1)-3),1+INDEX($B$14:$B$112,MATCH(I12,$A$14:$A$112,1)-4),1+INDEX($B$14:$B$112,MATCH(I12,$A$14:$A$112,1)-5),1+INDEX($B$14:$B$112,MATCH(I12,$A$14:$A$112,1)-6),1+INDEX($B$14:$B$112,MATCH(I12,$A$14:$A$112,1)-7)*(DAY(EOMONTH(MONTH(I12),0))-DAY(I12))/DAY(EOMONTH(MONTH(I12),0)))-1</f>
        <v>3.9064303284068735E-3</v>
      </c>
      <c r="M12" s="4">
        <v>46826</v>
      </c>
      <c r="N12" s="7">
        <v>100</v>
      </c>
      <c r="O12" s="8"/>
      <c r="Q12" s="4">
        <v>46688</v>
      </c>
      <c r="R12" s="9">
        <f>IF(bonus,100*0.4%,0)</f>
        <v>0.4</v>
      </c>
      <c r="S12" s="8"/>
      <c r="U12" s="4"/>
      <c r="V12" s="10"/>
      <c r="W12" s="8"/>
      <c r="Y12" s="4"/>
      <c r="Z12" s="10"/>
      <c r="AA12" s="8"/>
    </row>
    <row r="13" spans="1:27" x14ac:dyDescent="0.25">
      <c r="A13" s="1" t="s">
        <v>6</v>
      </c>
      <c r="B13" s="6" t="s">
        <v>7</v>
      </c>
      <c r="C13" s="6" t="s">
        <v>8</v>
      </c>
      <c r="E13" s="4">
        <v>47115</v>
      </c>
      <c r="F13" s="7">
        <f>F$21*100/2*(1+G13)+G13*100</f>
        <v>1.1937631086004035</v>
      </c>
      <c r="G13" s="8" cm="1">
        <f t="array" ref="G13">PRODUCT(1+INDEX($B$14:$B$112,MATCH(E13,$A$14:$A$112,1)-1)*DAY(E13)/DAY(EOMONTH(MONTH(E13),0)),1+INDEX($B$14:$B$112,MATCH(E13,$A$14:$A$112,1)-2),1+INDEX($B$14:$B$112,MATCH(E13,$A$14:$A$112,1)-3),1+INDEX($B$14:$B$112,MATCH(E13,$A$14:$A$112,1)-4),1+INDEX($B$14:$B$112,MATCH(E13,$A$14:$A$112,1)-5),1+INDEX($B$14:$B$112,MATCH(E13,$A$14:$A$112,1)-6),1+INDEX($B$14:$B$112,MATCH(E13,$A$14:$A$112,1)-7)*(DAY(EOMONTH(MONTH(E13),0))-DAY(E13))/DAY(EOMONTH(MONTH(E13),0)))-1</f>
        <v>3.9063800456389242E-3</v>
      </c>
      <c r="I13" s="4">
        <v>47079</v>
      </c>
      <c r="J13" s="7">
        <v>100</v>
      </c>
      <c r="M13" s="4">
        <v>46826</v>
      </c>
      <c r="N13" s="9">
        <f>IF(bonus,100*0.8%,0)</f>
        <v>0.8</v>
      </c>
      <c r="O13" s="8"/>
      <c r="Q13" s="4"/>
      <c r="R13" s="7"/>
      <c r="S13" s="8"/>
      <c r="U13" s="4"/>
      <c r="V13" s="10"/>
      <c r="W13" s="8"/>
      <c r="Y13" s="4"/>
      <c r="Z13" s="10"/>
      <c r="AA13" s="8"/>
    </row>
    <row r="14" spans="1:27" x14ac:dyDescent="0.25">
      <c r="A14" s="11">
        <v>44804</v>
      </c>
      <c r="B14" s="12">
        <v>8.0000000000000002E-3</v>
      </c>
      <c r="C14" s="12">
        <f t="shared" ref="C14:C18" si="0">(1+B14)^12-1</f>
        <v>0.10033869371614701</v>
      </c>
      <c r="E14" s="4">
        <v>47297</v>
      </c>
      <c r="F14" s="7">
        <f>F$21*100/2*(1+G14)+G14*100</f>
        <v>1.1937631086004035</v>
      </c>
      <c r="G14" s="8" cm="1">
        <f t="array" ref="G14">PRODUCT(1+INDEX($B$14:$B$112,MATCH(E14,$A$14:$A$112,1)-1)*DAY(E14)/DAY(EOMONTH(MONTH(E14),0)),1+INDEX($B$14:$B$112,MATCH(E14,$A$14:$A$112,1)-2),1+INDEX($B$14:$B$112,MATCH(E14,$A$14:$A$112,1)-3),1+INDEX($B$14:$B$112,MATCH(E14,$A$14:$A$112,1)-4),1+INDEX($B$14:$B$112,MATCH(E14,$A$14:$A$112,1)-5),1+INDEX($B$14:$B$112,MATCH(E14,$A$14:$A$112,1)-6),1+INDEX($B$14:$B$112,MATCH(E14,$A$14:$A$112,1)-7)*(DAY(EOMONTH(MONTH(E14),0))-DAY(E14))/DAY(EOMONTH(MONTH(E14),0)))-1</f>
        <v>3.9063800456389242E-3</v>
      </c>
      <c r="I14" s="4">
        <v>47079</v>
      </c>
      <c r="J14" s="9">
        <f>IF(bonus,100*0.8%,0)</f>
        <v>0.8</v>
      </c>
      <c r="M14" s="4"/>
      <c r="N14" s="7"/>
      <c r="O14" s="8"/>
      <c r="Q14" s="4"/>
      <c r="R14" s="7"/>
      <c r="S14" s="8"/>
      <c r="U14" s="4"/>
      <c r="V14" s="10"/>
      <c r="W14" s="8"/>
      <c r="Y14" s="4"/>
      <c r="Z14" s="10"/>
      <c r="AA14" s="8"/>
    </row>
    <row r="15" spans="1:27" x14ac:dyDescent="0.25">
      <c r="A15" s="11">
        <v>44834</v>
      </c>
      <c r="B15" s="12">
        <v>3.0000000000000001E-3</v>
      </c>
      <c r="C15" s="12">
        <f t="shared" si="0"/>
        <v>3.659998028812983E-2</v>
      </c>
      <c r="E15" s="4">
        <v>47480</v>
      </c>
      <c r="F15" s="7">
        <f>F$21*100/2*(1+G15)+G15*100</f>
        <v>1.1937631086004035</v>
      </c>
      <c r="G15" s="8" cm="1">
        <f t="array" ref="G15">PRODUCT(1+INDEX($B$14:$B$112,MATCH(E15,$A$14:$A$112,1)-1)*DAY(E15)/DAY(EOMONTH(MONTH(E15),0)),1+INDEX($B$14:$B$112,MATCH(E15,$A$14:$A$112,1)-2),1+INDEX($B$14:$B$112,MATCH(E15,$A$14:$A$112,1)-3),1+INDEX($B$14:$B$112,MATCH(E15,$A$14:$A$112,1)-4),1+INDEX($B$14:$B$112,MATCH(E15,$A$14:$A$112,1)-5),1+INDEX($B$14:$B$112,MATCH(E15,$A$14:$A$112,1)-6),1+INDEX($B$14:$B$112,MATCH(E15,$A$14:$A$112,1)-7)*(DAY(EOMONTH(MONTH(E15),0))-DAY(E15))/DAY(EOMONTH(MONTH(E15),0)))-1</f>
        <v>3.9063800456389242E-3</v>
      </c>
      <c r="I15" s="4"/>
      <c r="J15" s="7"/>
      <c r="M15" s="4"/>
      <c r="N15" s="7"/>
      <c r="O15" s="8"/>
      <c r="Q15" s="4"/>
      <c r="R15" s="10"/>
      <c r="S15" s="8"/>
      <c r="U15" s="4"/>
      <c r="V15" s="10"/>
      <c r="Y15" s="4"/>
      <c r="Z15" s="10"/>
    </row>
    <row r="16" spans="1:27" x14ac:dyDescent="0.25">
      <c r="A16" s="11">
        <v>44865</v>
      </c>
      <c r="B16" s="12">
        <v>3.3000000000000002E-2</v>
      </c>
      <c r="C16" s="12">
        <f t="shared" si="0"/>
        <v>0.47639939390294872</v>
      </c>
      <c r="E16" s="4">
        <v>47662</v>
      </c>
      <c r="F16" s="7">
        <f>F$21*100/2*(1+G16)+G16*100</f>
        <v>1.1937631086004035</v>
      </c>
      <c r="G16" s="8" cm="1">
        <f t="array" ref="G16">PRODUCT(1+INDEX($B$14:$B$112,MATCH(E16,$A$14:$A$112,1)-1)*DAY(E16)/DAY(EOMONTH(MONTH(E16),0)),1+INDEX($B$14:$B$112,MATCH(E16,$A$14:$A$112,1)-2),1+INDEX($B$14:$B$112,MATCH(E16,$A$14:$A$112,1)-3),1+INDEX($B$14:$B$112,MATCH(E16,$A$14:$A$112,1)-4),1+INDEX($B$14:$B$112,MATCH(E16,$A$14:$A$112,1)-5),1+INDEX($B$14:$B$112,MATCH(E16,$A$14:$A$112,1)-6),1+INDEX($B$14:$B$112,MATCH(E16,$A$14:$A$112,1)-7)*(DAY(EOMONTH(MONTH(E16),0))-DAY(E16))/DAY(EOMONTH(MONTH(E16),0)))-1</f>
        <v>3.9063800456389242E-3</v>
      </c>
      <c r="M16" s="4"/>
      <c r="N16" s="7"/>
      <c r="Q16" s="4"/>
      <c r="R16" s="10"/>
      <c r="S16" s="8"/>
    </row>
    <row r="17" spans="1:27" x14ac:dyDescent="0.25">
      <c r="A17" s="11">
        <v>44895</v>
      </c>
      <c r="B17" s="12">
        <v>6.0000000000000001E-3</v>
      </c>
      <c r="C17" s="12">
        <f t="shared" si="0"/>
        <v>7.4424167721924617E-2</v>
      </c>
      <c r="E17" s="4">
        <v>47662</v>
      </c>
      <c r="F17" s="7">
        <v>100</v>
      </c>
      <c r="J17" s="13"/>
      <c r="Q17" s="4"/>
      <c r="R17" s="10"/>
      <c r="S17" s="8"/>
      <c r="V17" s="13"/>
      <c r="Z17" s="13"/>
    </row>
    <row r="18" spans="1:27" x14ac:dyDescent="0.25">
      <c r="A18" s="11">
        <v>44926</v>
      </c>
      <c r="B18" s="12">
        <v>3.0000000000000001E-3</v>
      </c>
      <c r="C18" s="12">
        <f t="shared" si="0"/>
        <v>3.659998028812983E-2</v>
      </c>
      <c r="E18" s="4">
        <v>46201</v>
      </c>
      <c r="F18" s="9">
        <f>IF(bonus,100*0.4%,0)</f>
        <v>0.4</v>
      </c>
      <c r="N18" s="13"/>
      <c r="Q18" s="4"/>
      <c r="R18" s="10"/>
      <c r="S18" s="8"/>
    </row>
    <row r="19" spans="1:27" x14ac:dyDescent="0.25">
      <c r="A19" s="11">
        <v>44957</v>
      </c>
      <c r="B19" s="12">
        <v>1E-3</v>
      </c>
      <c r="C19" s="12">
        <f>(1+B19)^12-1</f>
        <v>1.2066220495791313E-2</v>
      </c>
      <c r="E19" s="4">
        <v>47662</v>
      </c>
      <c r="F19" s="9">
        <f>IF(bonus,100*0.6%,0)</f>
        <v>0.6</v>
      </c>
      <c r="Q19" s="4"/>
      <c r="R19" s="10"/>
    </row>
    <row r="20" spans="1:27" x14ac:dyDescent="0.25">
      <c r="A20" s="11">
        <v>44985</v>
      </c>
      <c r="B20" s="12">
        <v>1.6900000000000001E-3</v>
      </c>
      <c r="C20" s="12">
        <f t="shared" ref="C20:C83" si="1">(1+B20)^12-1</f>
        <v>2.0469568546786832E-2</v>
      </c>
      <c r="D20" s="13"/>
      <c r="E20" s="4"/>
      <c r="F20" s="7"/>
    </row>
    <row r="21" spans="1:27" x14ac:dyDescent="0.25">
      <c r="A21" s="11">
        <v>45016</v>
      </c>
      <c r="B21" s="12">
        <v>-4.2199999999999998E-3</v>
      </c>
      <c r="C21" s="14">
        <f t="shared" si="1"/>
        <v>-4.9481022989455781E-2</v>
      </c>
      <c r="D21" s="13"/>
      <c r="E21" s="15">
        <f>MAX(E1:E19)</f>
        <v>47662</v>
      </c>
      <c r="F21" s="13">
        <v>1.6E-2</v>
      </c>
      <c r="G21" s="16">
        <f>XIRR(F2:F19,E2:E19)</f>
        <v>3.1910356879234311E-2</v>
      </c>
      <c r="I21" s="15">
        <v>47079</v>
      </c>
      <c r="J21" s="13">
        <v>1.6E-2</v>
      </c>
      <c r="K21" s="16">
        <f>XIRR(J2:J18,I2:I18)</f>
        <v>2.9025736451148983E-2</v>
      </c>
      <c r="M21" s="15">
        <f>MAX(M1:M19)</f>
        <v>46826</v>
      </c>
      <c r="N21" s="17">
        <v>0.02</v>
      </c>
      <c r="O21" s="16">
        <f>XIRR(N2:N19,M2:M19)</f>
        <v>3.00709992647171E-2</v>
      </c>
      <c r="Q21" s="15">
        <f>MAX(Q1:Q19)</f>
        <v>46688</v>
      </c>
      <c r="R21" s="13">
        <v>6.4999999999999997E-3</v>
      </c>
      <c r="S21" s="16">
        <f>XIRR(R2:R19,Q2:Q19)</f>
        <v>2.7198997139930726E-2</v>
      </c>
      <c r="U21" s="15">
        <f>MAX(U1:U18)</f>
        <v>46163</v>
      </c>
      <c r="V21" s="13">
        <v>5.4999999999999997E-3</v>
      </c>
      <c r="W21" s="16">
        <f>XIRR(V2:V18,U2:U18)</f>
        <v>2.7585771679878236E-2</v>
      </c>
      <c r="Y21" s="15">
        <f>MAX(Y1:Y18)</f>
        <v>45803</v>
      </c>
      <c r="Z21" s="13">
        <v>1.4E-2</v>
      </c>
      <c r="AA21" s="16">
        <f>XIRR(Z2:Z18,Y2:Y18)</f>
        <v>4.5695415139198309E-2</v>
      </c>
    </row>
    <row r="22" spans="1:27" x14ac:dyDescent="0.25">
      <c r="A22" s="11">
        <v>45046</v>
      </c>
      <c r="B22" s="14">
        <v>3.3899999999999998E-3</v>
      </c>
      <c r="C22" s="14">
        <f t="shared" si="1"/>
        <v>4.1447115138014023E-2</v>
      </c>
      <c r="D22" s="13"/>
      <c r="E22" s="4"/>
      <c r="F22">
        <f>INDEX($B:$B,MATCH(E21,$A:$A,0))</f>
        <v>1.0059199999999999</v>
      </c>
      <c r="I22" s="4"/>
      <c r="J22">
        <f>INDEX($B:$B,MATCH(I21,$A:$A,0))</f>
        <v>0.99988999999999995</v>
      </c>
      <c r="M22" s="4"/>
      <c r="N22" s="2">
        <f>INDEX($B:$B,MATCH(M21,$A:$A,0))</f>
        <v>1.0026200000000001</v>
      </c>
      <c r="Q22" s="4"/>
      <c r="R22" s="2">
        <f>INDEX($B:$B,MATCH(Q21,$A:$A,0))</f>
        <v>0.99951999999999996</v>
      </c>
      <c r="U22" s="4"/>
      <c r="V22">
        <f>INDEX($B:$B,MATCH(U21,$A:$A,0))</f>
        <v>0.99985999999999997</v>
      </c>
      <c r="Y22" s="4"/>
      <c r="Z22">
        <f>INDEX($B:$B,MATCH(Y21,$A:$A,0))</f>
        <v>1</v>
      </c>
    </row>
    <row r="23" spans="1:27" x14ac:dyDescent="0.25">
      <c r="A23" s="11">
        <v>45077</v>
      </c>
      <c r="B23" s="14">
        <v>1.6900000000000001E-3</v>
      </c>
      <c r="C23" s="14">
        <f t="shared" si="1"/>
        <v>2.0469568546786832E-2</v>
      </c>
      <c r="D23" s="13"/>
    </row>
    <row r="24" spans="1:27" x14ac:dyDescent="0.25">
      <c r="A24" s="11">
        <v>45107</v>
      </c>
      <c r="B24" s="14">
        <v>0</v>
      </c>
      <c r="C24" s="14">
        <f t="shared" si="1"/>
        <v>0</v>
      </c>
      <c r="D24" s="13"/>
      <c r="E24" t="s">
        <v>9</v>
      </c>
      <c r="G24" s="13">
        <v>3.1699999999999999E-2</v>
      </c>
      <c r="I24" t="s">
        <v>10</v>
      </c>
      <c r="K24" s="13">
        <v>2.8799999999999999E-2</v>
      </c>
      <c r="M24" t="s">
        <v>11</v>
      </c>
      <c r="O24" s="13">
        <v>2.8400000000000002E-2</v>
      </c>
      <c r="Q24" t="s">
        <v>12</v>
      </c>
      <c r="S24" s="13">
        <v>2.75E-2</v>
      </c>
      <c r="U24" t="s">
        <v>13</v>
      </c>
      <c r="W24" s="13">
        <v>2.6700000000000002E-2</v>
      </c>
      <c r="Y24" t="s">
        <v>14</v>
      </c>
      <c r="AA24" s="13">
        <v>2.8400000000000002E-2</v>
      </c>
    </row>
    <row r="25" spans="1:27" x14ac:dyDescent="0.25">
      <c r="A25" s="11">
        <v>45138</v>
      </c>
      <c r="B25" s="14">
        <v>8.43E-4</v>
      </c>
      <c r="C25" s="14">
        <f t="shared" si="1"/>
        <v>1.0163034881286892E-2</v>
      </c>
      <c r="D25" s="13"/>
      <c r="E25" s="23" t="s">
        <v>21</v>
      </c>
      <c r="G25" s="13">
        <f>G21-G24</f>
        <v>2.1035687923431218E-4</v>
      </c>
      <c r="I25" s="23" t="s">
        <v>20</v>
      </c>
      <c r="K25" s="13">
        <f>K21-K24</f>
        <v>2.2573645114898344E-4</v>
      </c>
      <c r="M25" s="23" t="s">
        <v>19</v>
      </c>
      <c r="O25" s="13">
        <f>O21-O24</f>
        <v>1.6709992647170983E-3</v>
      </c>
      <c r="Q25" s="23" t="s">
        <v>18</v>
      </c>
      <c r="S25" s="13">
        <f>S21-S24</f>
        <v>-3.0100286006927435E-4</v>
      </c>
      <c r="U25" s="23" t="s">
        <v>17</v>
      </c>
      <c r="W25" s="13">
        <f>W21-W24</f>
        <v>8.8577167987823405E-4</v>
      </c>
      <c r="Y25" s="23" t="s">
        <v>16</v>
      </c>
      <c r="AA25" s="13">
        <f>AA21-AA24</f>
        <v>1.7295415139198307E-2</v>
      </c>
    </row>
    <row r="26" spans="1:27" x14ac:dyDescent="0.25">
      <c r="A26" s="11">
        <v>45169</v>
      </c>
      <c r="B26" s="14">
        <v>3.0000000000000001E-3</v>
      </c>
      <c r="C26" s="14">
        <f t="shared" si="1"/>
        <v>3.659998028812983E-2</v>
      </c>
      <c r="D26" s="13"/>
      <c r="E26" s="4"/>
      <c r="G26" s="18"/>
      <c r="H26" s="11"/>
    </row>
    <row r="27" spans="1:27" x14ac:dyDescent="0.25">
      <c r="A27" s="11">
        <v>45199</v>
      </c>
      <c r="B27" s="14">
        <v>1.6789999999999999E-3</v>
      </c>
      <c r="C27" s="14">
        <f t="shared" si="1"/>
        <v>2.0335101947713374E-2</v>
      </c>
      <c r="D27" s="13"/>
      <c r="E27" s="19" t="s">
        <v>15</v>
      </c>
      <c r="G27" s="18"/>
      <c r="H27" s="11"/>
    </row>
    <row r="28" spans="1:27" x14ac:dyDescent="0.25">
      <c r="A28" s="11">
        <v>45230</v>
      </c>
      <c r="B28" s="14">
        <v>-8.3799999999999999E-4</v>
      </c>
      <c r="C28" s="14">
        <f t="shared" si="1"/>
        <v>-1.0009781117923722E-2</v>
      </c>
      <c r="D28" s="13"/>
      <c r="E28" s="4" t="str">
        <f ca="1">IF(ISBLANK(INDEX($C$4:$C$12,MATCH(E21,$A$4:$A$12,0))),"indeterminata",COUPNCD(TODAY()-1,E21,2))</f>
        <v>indeterminata</v>
      </c>
      <c r="F28" t="str">
        <f>IF(ISBLANK(INDEX($C$4:$C$12,MATCH(E21,$A$4:$A$12,0))),"",100*(INDEX($C$4:$C$12,MATCH(E21,$A$4:$A$12,0))*F21/2+(INDEX($C$4:$C$12,MATCH(E21,$A$4:$A$12,0))-1)))</f>
        <v/>
      </c>
      <c r="I28" s="4">
        <f ca="1">IF(ISBLANK(INDEX($C$4:$C$12,MATCH(I21,$A$4:$A$12,0))),"indeterminata",COUPNCD(TODAY()-1,I21,2))</f>
        <v>45618</v>
      </c>
      <c r="J28">
        <f>IF(ISBLANK(INDEX($C$4:$C$12,MATCH(I21,$A$4:$A$12,0))),"",100*(INDEX($C$4:$C$12,MATCH(I21,$A$4:$A$12,0))*J21/2+(INDEX($C$4:$C$12,MATCH(I21,$A$4:$A$12,0))-1)))</f>
        <v>1.3594399999999944</v>
      </c>
      <c r="M28" s="4" t="str">
        <f ca="1">IF(ISBLANK(INDEX($C$4:$C$12,MATCH(M21,$A$4:$A$12,0))),"indeterminata",COUPNCD(TODAY()-1,M21,2))</f>
        <v>indeterminata</v>
      </c>
      <c r="N28" t="str">
        <f>IF(ISBLANK(INDEX($C$4:$C$12,MATCH(M21,$A$4:$A$12,0))),"",100*(INDEX($C$4:$C$12,MATCH(M21,$A$4:$A$12,0))*N21/2+(INDEX($C$4:$C$12,MATCH(M21,$A$4:$A$12,0))-1)))</f>
        <v/>
      </c>
      <c r="Q28" s="4" t="str">
        <f ca="1">IF(ISBLANK(INDEX($C$4:$C$12,MATCH(Q21,$A$4:$A$12,0))),"indeterminata",COUPNCD(TODAY()-1,Q21,2))</f>
        <v>indeterminata</v>
      </c>
      <c r="R28" t="str">
        <f>IF(ISBLANK(INDEX($C$4:$C$12,MATCH(Q21,$A$4:$A$12,0))),"",100*(INDEX($C$4:$C$12,MATCH(Q21,$A$4:$A$12,0))*R21/2+(INDEX($C$4:$C$12,MATCH(Q21,$A$4:$A$12,0))-1)))</f>
        <v/>
      </c>
      <c r="U28" s="4">
        <f ca="1">IF(ISBLANK(INDEX($C$4:$C$12,MATCH(U21,$A$4:$A$12,0))),"indeterminata",COUPNCD(TODAY()-1,U21,2))</f>
        <v>45617</v>
      </c>
      <c r="V28">
        <f>IF(ISBLANK(INDEX($C$4:$C$12,MATCH(U21,$A$4:$A$12,0))),"",100*(INDEX($C$4:$C$12,MATCH(U21,$A$4:$A$12,0))*V21/2+(INDEX($C$4:$C$12,MATCH(U21,$A$4:$A$12,0))-1)))</f>
        <v>0.83654000000000484</v>
      </c>
      <c r="Y28" s="4">
        <f ca="1">IF(ISBLANK(INDEX($C$4:$C$12,MATCH(Y21,$A$4:$A$12,0))),"indeterminata",COUPNCD(TODAY()-1,Y21,2))</f>
        <v>45622</v>
      </c>
      <c r="Z28">
        <f>IF(ISBLANK(INDEX($C$4:$C$12,MATCH(Y21,$A$4:$A$12,0))),"",100*(INDEX($C$4:$C$12,MATCH(Y21,$A$4:$A$12,0))*Z21/2+(INDEX($C$4:$C$12,MATCH(Y21,$A$4:$A$12,0))-1)))</f>
        <v>1.2367310000000058</v>
      </c>
    </row>
    <row r="29" spans="1:27" x14ac:dyDescent="0.25">
      <c r="A29" s="11">
        <v>45260</v>
      </c>
      <c r="B29" s="14">
        <v>-4.1980000000000003E-3</v>
      </c>
      <c r="C29" s="14">
        <f t="shared" si="1"/>
        <v>-4.9228991914086917E-2</v>
      </c>
      <c r="D29" s="13"/>
    </row>
    <row r="30" spans="1:27" x14ac:dyDescent="0.25">
      <c r="A30" s="11">
        <v>45291</v>
      </c>
      <c r="B30" s="14">
        <v>1.6863399999999999E-3</v>
      </c>
      <c r="C30" s="14">
        <f t="shared" si="1"/>
        <v>2.0424826038849098E-2</v>
      </c>
      <c r="D30" s="13"/>
    </row>
    <row r="31" spans="1:27" x14ac:dyDescent="0.25">
      <c r="A31" s="11">
        <v>45322</v>
      </c>
      <c r="B31" s="14">
        <v>3.3670033670034627E-3</v>
      </c>
      <c r="C31" s="14">
        <f t="shared" si="1"/>
        <v>4.1160724900673129E-2</v>
      </c>
      <c r="D31" s="13"/>
    </row>
    <row r="32" spans="1:27" x14ac:dyDescent="0.25">
      <c r="A32" s="11">
        <v>45351</v>
      </c>
      <c r="B32" s="14">
        <v>8.3892617449654594E-4</v>
      </c>
      <c r="C32" s="14">
        <f t="shared" si="1"/>
        <v>1.0113694845252708E-2</v>
      </c>
      <c r="J32" s="21"/>
    </row>
    <row r="33" spans="1:4" x14ac:dyDescent="0.25">
      <c r="A33" s="11">
        <v>45382</v>
      </c>
      <c r="B33" s="14">
        <v>0</v>
      </c>
      <c r="C33" s="14">
        <f t="shared" si="1"/>
        <v>0</v>
      </c>
      <c r="D33" s="13"/>
    </row>
    <row r="34" spans="1:4" x14ac:dyDescent="0.25">
      <c r="A34" s="11">
        <v>45412</v>
      </c>
      <c r="B34" s="14">
        <v>0</v>
      </c>
      <c r="C34" s="14">
        <f t="shared" si="1"/>
        <v>0</v>
      </c>
    </row>
    <row r="35" spans="1:4" x14ac:dyDescent="0.25">
      <c r="A35" s="11">
        <v>45443</v>
      </c>
      <c r="B35" s="14">
        <v>1.6764459346185756E-3</v>
      </c>
      <c r="C35" s="14">
        <f t="shared" si="1"/>
        <v>2.0303882772522819E-2</v>
      </c>
    </row>
    <row r="36" spans="1:4" x14ac:dyDescent="0.25">
      <c r="A36" s="11">
        <v>45473</v>
      </c>
      <c r="B36" s="14">
        <v>0</v>
      </c>
      <c r="C36" s="14">
        <f t="shared" si="1"/>
        <v>0</v>
      </c>
    </row>
    <row r="37" spans="1:4" x14ac:dyDescent="0.25">
      <c r="A37" s="11">
        <v>45504</v>
      </c>
      <c r="B37" s="14">
        <v>4.1841004184099972E-3</v>
      </c>
      <c r="C37" s="14">
        <f t="shared" si="1"/>
        <v>5.1380914658439192E-2</v>
      </c>
    </row>
    <row r="38" spans="1:4" x14ac:dyDescent="0.25">
      <c r="A38" s="11">
        <v>45535</v>
      </c>
      <c r="B38" s="14">
        <v>8.3333333333324155E-4</v>
      </c>
      <c r="C38" s="14">
        <f t="shared" si="1"/>
        <v>1.0045960887180572E-2</v>
      </c>
    </row>
    <row r="39" spans="1:4" x14ac:dyDescent="0.25">
      <c r="A39" s="11">
        <v>45565</v>
      </c>
      <c r="B39" s="14">
        <v>-8.3263946711065184E-4</v>
      </c>
      <c r="C39" s="14">
        <f t="shared" si="1"/>
        <v>-9.9460433249561886E-3</v>
      </c>
    </row>
    <row r="40" spans="1:4" x14ac:dyDescent="0.25">
      <c r="A40" s="11">
        <v>45596</v>
      </c>
      <c r="B40" s="22">
        <v>0</v>
      </c>
      <c r="C40" s="14">
        <f t="shared" si="1"/>
        <v>0</v>
      </c>
    </row>
    <row r="41" spans="1:4" x14ac:dyDescent="0.25">
      <c r="A41" s="11">
        <v>45626</v>
      </c>
      <c r="B41" s="20">
        <v>6.4999999999999997E-4</v>
      </c>
      <c r="C41" s="14">
        <f t="shared" si="1"/>
        <v>7.8279455059533376E-3</v>
      </c>
    </row>
    <row r="42" spans="1:4" x14ac:dyDescent="0.25">
      <c r="A42" s="11">
        <v>45657</v>
      </c>
      <c r="B42" s="20">
        <v>6.4999999999999997E-4</v>
      </c>
      <c r="C42" s="14">
        <f t="shared" si="1"/>
        <v>7.8279455059533376E-3</v>
      </c>
    </row>
    <row r="43" spans="1:4" x14ac:dyDescent="0.25">
      <c r="A43" s="11">
        <v>45688</v>
      </c>
      <c r="B43" s="20">
        <v>6.4999999999999997E-4</v>
      </c>
      <c r="C43" s="14">
        <f t="shared" si="1"/>
        <v>7.8279455059533376E-3</v>
      </c>
    </row>
    <row r="44" spans="1:4" x14ac:dyDescent="0.25">
      <c r="A44" s="11">
        <v>45716</v>
      </c>
      <c r="B44" s="20">
        <v>6.4999999999999997E-4</v>
      </c>
      <c r="C44" s="14">
        <f t="shared" si="1"/>
        <v>7.8279455059533376E-3</v>
      </c>
    </row>
    <row r="45" spans="1:4" x14ac:dyDescent="0.25">
      <c r="A45" s="11">
        <v>45747</v>
      </c>
      <c r="B45" s="20">
        <v>6.4999999999999997E-4</v>
      </c>
      <c r="C45" s="14">
        <f t="shared" si="1"/>
        <v>7.8279455059533376E-3</v>
      </c>
    </row>
    <row r="46" spans="1:4" x14ac:dyDescent="0.25">
      <c r="A46" s="11">
        <v>45777</v>
      </c>
      <c r="B46" s="20">
        <v>6.4999999999999997E-4</v>
      </c>
      <c r="C46" s="14">
        <f t="shared" si="1"/>
        <v>7.8279455059533376E-3</v>
      </c>
    </row>
    <row r="47" spans="1:4" x14ac:dyDescent="0.25">
      <c r="A47" s="11">
        <v>45808</v>
      </c>
      <c r="B47" s="20">
        <v>6.4999999999999997E-4</v>
      </c>
      <c r="C47" s="14">
        <f t="shared" si="1"/>
        <v>7.8279455059533376E-3</v>
      </c>
    </row>
    <row r="48" spans="1:4" x14ac:dyDescent="0.25">
      <c r="A48" s="11">
        <v>45838</v>
      </c>
      <c r="B48" s="20">
        <v>6.4999999999999997E-4</v>
      </c>
      <c r="C48" s="14">
        <f t="shared" si="1"/>
        <v>7.8279455059533376E-3</v>
      </c>
    </row>
    <row r="49" spans="1:3" x14ac:dyDescent="0.25">
      <c r="A49" s="11">
        <v>45869</v>
      </c>
      <c r="B49" s="20">
        <v>6.4999999999999997E-4</v>
      </c>
      <c r="C49" s="14">
        <f t="shared" si="1"/>
        <v>7.8279455059533376E-3</v>
      </c>
    </row>
    <row r="50" spans="1:3" x14ac:dyDescent="0.25">
      <c r="A50" s="11">
        <v>45900</v>
      </c>
      <c r="B50" s="20">
        <v>6.4999999999999997E-4</v>
      </c>
      <c r="C50" s="14">
        <f t="shared" si="1"/>
        <v>7.8279455059533376E-3</v>
      </c>
    </row>
    <row r="51" spans="1:3" x14ac:dyDescent="0.25">
      <c r="A51" s="11">
        <v>45930</v>
      </c>
      <c r="B51" s="20">
        <v>6.4999999999999997E-4</v>
      </c>
      <c r="C51" s="14">
        <f t="shared" si="1"/>
        <v>7.8279455059533376E-3</v>
      </c>
    </row>
    <row r="52" spans="1:3" x14ac:dyDescent="0.25">
      <c r="A52" s="11">
        <v>45961</v>
      </c>
      <c r="B52" s="20">
        <v>6.4999999999999997E-4</v>
      </c>
      <c r="C52" s="14">
        <f t="shared" si="1"/>
        <v>7.8279455059533376E-3</v>
      </c>
    </row>
    <row r="53" spans="1:3" x14ac:dyDescent="0.25">
      <c r="A53" s="11">
        <v>45991</v>
      </c>
      <c r="B53" s="20">
        <v>6.4999999999999997E-4</v>
      </c>
      <c r="C53" s="14">
        <f t="shared" si="1"/>
        <v>7.8279455059533376E-3</v>
      </c>
    </row>
    <row r="54" spans="1:3" x14ac:dyDescent="0.25">
      <c r="A54" s="11">
        <v>46022</v>
      </c>
      <c r="B54" s="20">
        <v>6.4999999999999997E-4</v>
      </c>
      <c r="C54" s="14">
        <f t="shared" si="1"/>
        <v>7.8279455059533376E-3</v>
      </c>
    </row>
    <row r="55" spans="1:3" x14ac:dyDescent="0.25">
      <c r="A55" s="11">
        <v>46053</v>
      </c>
      <c r="B55" s="20">
        <v>6.4999999999999997E-4</v>
      </c>
      <c r="C55" s="14">
        <f t="shared" si="1"/>
        <v>7.8279455059533376E-3</v>
      </c>
    </row>
    <row r="56" spans="1:3" x14ac:dyDescent="0.25">
      <c r="A56" s="11">
        <v>46081</v>
      </c>
      <c r="B56" s="20">
        <v>6.4999999999999997E-4</v>
      </c>
      <c r="C56" s="14">
        <f t="shared" si="1"/>
        <v>7.8279455059533376E-3</v>
      </c>
    </row>
    <row r="57" spans="1:3" x14ac:dyDescent="0.25">
      <c r="A57" s="11">
        <v>46112</v>
      </c>
      <c r="B57" s="20">
        <v>6.4999999999999997E-4</v>
      </c>
      <c r="C57" s="14">
        <f t="shared" si="1"/>
        <v>7.8279455059533376E-3</v>
      </c>
    </row>
    <row r="58" spans="1:3" x14ac:dyDescent="0.25">
      <c r="A58" s="11">
        <v>46142</v>
      </c>
      <c r="B58" s="20">
        <v>6.4999999999999997E-4</v>
      </c>
      <c r="C58" s="14">
        <f t="shared" si="1"/>
        <v>7.8279455059533376E-3</v>
      </c>
    </row>
    <row r="59" spans="1:3" x14ac:dyDescent="0.25">
      <c r="A59" s="11">
        <v>46173</v>
      </c>
      <c r="B59" s="20">
        <v>6.4999999999999997E-4</v>
      </c>
      <c r="C59" s="14">
        <f t="shared" si="1"/>
        <v>7.8279455059533376E-3</v>
      </c>
    </row>
    <row r="60" spans="1:3" x14ac:dyDescent="0.25">
      <c r="A60" s="11">
        <v>46203</v>
      </c>
      <c r="B60" s="20">
        <v>6.4999999999999997E-4</v>
      </c>
      <c r="C60" s="14">
        <f t="shared" si="1"/>
        <v>7.8279455059533376E-3</v>
      </c>
    </row>
    <row r="61" spans="1:3" x14ac:dyDescent="0.25">
      <c r="A61" s="11">
        <v>46234</v>
      </c>
      <c r="B61" s="20">
        <v>6.4999999999999997E-4</v>
      </c>
      <c r="C61" s="14">
        <f t="shared" si="1"/>
        <v>7.8279455059533376E-3</v>
      </c>
    </row>
    <row r="62" spans="1:3" x14ac:dyDescent="0.25">
      <c r="A62" s="11">
        <v>46265</v>
      </c>
      <c r="B62" s="20">
        <v>6.4999999999999997E-4</v>
      </c>
      <c r="C62" s="14">
        <f t="shared" si="1"/>
        <v>7.8279455059533376E-3</v>
      </c>
    </row>
    <row r="63" spans="1:3" x14ac:dyDescent="0.25">
      <c r="A63" s="11">
        <v>46295</v>
      </c>
      <c r="B63" s="20">
        <v>6.4999999999999997E-4</v>
      </c>
      <c r="C63" s="14">
        <f t="shared" si="1"/>
        <v>7.8279455059533376E-3</v>
      </c>
    </row>
    <row r="64" spans="1:3" x14ac:dyDescent="0.25">
      <c r="A64" s="11">
        <v>46326</v>
      </c>
      <c r="B64" s="20">
        <v>6.4999999999999997E-4</v>
      </c>
      <c r="C64" s="14">
        <f t="shared" si="1"/>
        <v>7.8279455059533376E-3</v>
      </c>
    </row>
    <row r="65" spans="1:3" x14ac:dyDescent="0.25">
      <c r="A65" s="11">
        <v>46356</v>
      </c>
      <c r="B65" s="20">
        <v>6.4999999999999997E-4</v>
      </c>
      <c r="C65" s="14">
        <f t="shared" si="1"/>
        <v>7.8279455059533376E-3</v>
      </c>
    </row>
    <row r="66" spans="1:3" x14ac:dyDescent="0.25">
      <c r="A66" s="11">
        <v>46387</v>
      </c>
      <c r="B66" s="20">
        <v>6.4999999999999997E-4</v>
      </c>
      <c r="C66" s="14">
        <f t="shared" si="1"/>
        <v>7.8279455059533376E-3</v>
      </c>
    </row>
    <row r="67" spans="1:3" x14ac:dyDescent="0.25">
      <c r="A67" s="11">
        <v>46418</v>
      </c>
      <c r="B67" s="20">
        <v>6.4999999999999997E-4</v>
      </c>
      <c r="C67" s="14">
        <f t="shared" si="1"/>
        <v>7.8279455059533376E-3</v>
      </c>
    </row>
    <row r="68" spans="1:3" x14ac:dyDescent="0.25">
      <c r="A68" s="11">
        <v>46446</v>
      </c>
      <c r="B68" s="20">
        <v>6.4999999999999997E-4</v>
      </c>
      <c r="C68" s="14">
        <f t="shared" si="1"/>
        <v>7.8279455059533376E-3</v>
      </c>
    </row>
    <row r="69" spans="1:3" x14ac:dyDescent="0.25">
      <c r="A69" s="11">
        <v>46477</v>
      </c>
      <c r="B69" s="20">
        <v>6.4999999999999997E-4</v>
      </c>
      <c r="C69" s="14">
        <f t="shared" si="1"/>
        <v>7.8279455059533376E-3</v>
      </c>
    </row>
    <row r="70" spans="1:3" x14ac:dyDescent="0.25">
      <c r="A70" s="11">
        <v>46507</v>
      </c>
      <c r="B70" s="20">
        <v>6.4999999999999997E-4</v>
      </c>
      <c r="C70" s="14">
        <f t="shared" si="1"/>
        <v>7.8279455059533376E-3</v>
      </c>
    </row>
    <row r="71" spans="1:3" x14ac:dyDescent="0.25">
      <c r="A71" s="11">
        <v>46538</v>
      </c>
      <c r="B71" s="20">
        <v>6.4999999999999997E-4</v>
      </c>
      <c r="C71" s="14">
        <f t="shared" si="1"/>
        <v>7.8279455059533376E-3</v>
      </c>
    </row>
    <row r="72" spans="1:3" x14ac:dyDescent="0.25">
      <c r="A72" s="11">
        <v>46568</v>
      </c>
      <c r="B72" s="20">
        <v>6.4999999999999997E-4</v>
      </c>
      <c r="C72" s="14">
        <f t="shared" si="1"/>
        <v>7.8279455059533376E-3</v>
      </c>
    </row>
    <row r="73" spans="1:3" x14ac:dyDescent="0.25">
      <c r="A73" s="11">
        <v>46599</v>
      </c>
      <c r="B73" s="20">
        <v>6.4999999999999997E-4</v>
      </c>
      <c r="C73" s="14">
        <f t="shared" si="1"/>
        <v>7.8279455059533376E-3</v>
      </c>
    </row>
    <row r="74" spans="1:3" x14ac:dyDescent="0.25">
      <c r="A74" s="11">
        <v>46630</v>
      </c>
      <c r="B74" s="20">
        <v>6.4999999999999997E-4</v>
      </c>
      <c r="C74" s="14">
        <f t="shared" si="1"/>
        <v>7.8279455059533376E-3</v>
      </c>
    </row>
    <row r="75" spans="1:3" x14ac:dyDescent="0.25">
      <c r="A75" s="11">
        <v>46660</v>
      </c>
      <c r="B75" s="20">
        <v>6.4999999999999997E-4</v>
      </c>
      <c r="C75" s="14">
        <f t="shared" si="1"/>
        <v>7.8279455059533376E-3</v>
      </c>
    </row>
    <row r="76" spans="1:3" x14ac:dyDescent="0.25">
      <c r="A76" s="11">
        <v>46691</v>
      </c>
      <c r="B76" s="20">
        <v>6.4999999999999997E-4</v>
      </c>
      <c r="C76" s="14">
        <f t="shared" si="1"/>
        <v>7.8279455059533376E-3</v>
      </c>
    </row>
    <row r="77" spans="1:3" x14ac:dyDescent="0.25">
      <c r="A77" s="11">
        <v>46721</v>
      </c>
      <c r="B77" s="20">
        <v>6.4999999999999997E-4</v>
      </c>
      <c r="C77" s="14">
        <f t="shared" si="1"/>
        <v>7.8279455059533376E-3</v>
      </c>
    </row>
    <row r="78" spans="1:3" x14ac:dyDescent="0.25">
      <c r="A78" s="11">
        <v>46752</v>
      </c>
      <c r="B78" s="20">
        <v>6.4999999999999997E-4</v>
      </c>
      <c r="C78" s="14">
        <f t="shared" si="1"/>
        <v>7.8279455059533376E-3</v>
      </c>
    </row>
    <row r="79" spans="1:3" x14ac:dyDescent="0.25">
      <c r="A79" s="11">
        <v>46783</v>
      </c>
      <c r="B79" s="20">
        <v>6.4999999999999997E-4</v>
      </c>
      <c r="C79" s="14">
        <f t="shared" si="1"/>
        <v>7.8279455059533376E-3</v>
      </c>
    </row>
    <row r="80" spans="1:3" x14ac:dyDescent="0.25">
      <c r="A80" s="11">
        <v>46812</v>
      </c>
      <c r="B80" s="20">
        <v>6.4999999999999997E-4</v>
      </c>
      <c r="C80" s="14">
        <f t="shared" si="1"/>
        <v>7.8279455059533376E-3</v>
      </c>
    </row>
    <row r="81" spans="1:3" x14ac:dyDescent="0.25">
      <c r="A81" s="11">
        <v>46843</v>
      </c>
      <c r="B81" s="20">
        <v>6.4999999999999997E-4</v>
      </c>
      <c r="C81" s="14">
        <f t="shared" si="1"/>
        <v>7.8279455059533376E-3</v>
      </c>
    </row>
    <row r="82" spans="1:3" x14ac:dyDescent="0.25">
      <c r="A82" s="11">
        <v>46873</v>
      </c>
      <c r="B82" s="20">
        <v>6.4999999999999997E-4</v>
      </c>
      <c r="C82" s="14">
        <f t="shared" si="1"/>
        <v>7.8279455059533376E-3</v>
      </c>
    </row>
    <row r="83" spans="1:3" x14ac:dyDescent="0.25">
      <c r="A83" s="11">
        <v>46904</v>
      </c>
      <c r="B83" s="20">
        <v>6.4999999999999997E-4</v>
      </c>
      <c r="C83" s="14">
        <f t="shared" si="1"/>
        <v>7.8279455059533376E-3</v>
      </c>
    </row>
    <row r="84" spans="1:3" x14ac:dyDescent="0.25">
      <c r="A84" s="11">
        <v>46934</v>
      </c>
      <c r="B84" s="20">
        <v>6.4999999999999997E-4</v>
      </c>
      <c r="C84" s="14">
        <f t="shared" ref="C84:C112" si="2">(1+B84)^12-1</f>
        <v>7.8279455059533376E-3</v>
      </c>
    </row>
    <row r="85" spans="1:3" x14ac:dyDescent="0.25">
      <c r="A85" s="11">
        <v>46965</v>
      </c>
      <c r="B85" s="20">
        <v>6.4999999999999997E-4</v>
      </c>
      <c r="C85" s="14">
        <f t="shared" si="2"/>
        <v>7.8279455059533376E-3</v>
      </c>
    </row>
    <row r="86" spans="1:3" x14ac:dyDescent="0.25">
      <c r="A86" s="11">
        <v>46996</v>
      </c>
      <c r="B86" s="20">
        <v>6.4999999999999997E-4</v>
      </c>
      <c r="C86" s="14">
        <f t="shared" si="2"/>
        <v>7.8279455059533376E-3</v>
      </c>
    </row>
    <row r="87" spans="1:3" x14ac:dyDescent="0.25">
      <c r="A87" s="11">
        <v>47026</v>
      </c>
      <c r="B87" s="20">
        <v>6.4999999999999997E-4</v>
      </c>
      <c r="C87" s="14">
        <f t="shared" si="2"/>
        <v>7.8279455059533376E-3</v>
      </c>
    </row>
    <row r="88" spans="1:3" x14ac:dyDescent="0.25">
      <c r="A88" s="11">
        <v>47057</v>
      </c>
      <c r="B88" s="20">
        <v>6.4999999999999997E-4</v>
      </c>
      <c r="C88" s="14">
        <f t="shared" si="2"/>
        <v>7.8279455059533376E-3</v>
      </c>
    </row>
    <row r="89" spans="1:3" x14ac:dyDescent="0.25">
      <c r="A89" s="11">
        <v>47087</v>
      </c>
      <c r="B89" s="20">
        <v>6.4999999999999997E-4</v>
      </c>
      <c r="C89" s="14">
        <f t="shared" si="2"/>
        <v>7.8279455059533376E-3</v>
      </c>
    </row>
    <row r="90" spans="1:3" x14ac:dyDescent="0.25">
      <c r="A90" s="11">
        <v>47118</v>
      </c>
      <c r="B90" s="20">
        <v>6.4999999999999997E-4</v>
      </c>
      <c r="C90" s="14">
        <f t="shared" si="2"/>
        <v>7.8279455059533376E-3</v>
      </c>
    </row>
    <row r="91" spans="1:3" x14ac:dyDescent="0.25">
      <c r="A91" s="11">
        <v>47149</v>
      </c>
      <c r="B91" s="20">
        <v>6.4999999999999997E-4</v>
      </c>
      <c r="C91" s="14">
        <f t="shared" si="2"/>
        <v>7.8279455059533376E-3</v>
      </c>
    </row>
    <row r="92" spans="1:3" x14ac:dyDescent="0.25">
      <c r="A92" s="11">
        <v>47177</v>
      </c>
      <c r="B92" s="20">
        <v>6.4999999999999997E-4</v>
      </c>
      <c r="C92" s="14">
        <f t="shared" si="2"/>
        <v>7.8279455059533376E-3</v>
      </c>
    </row>
    <row r="93" spans="1:3" x14ac:dyDescent="0.25">
      <c r="A93" s="11">
        <v>47208</v>
      </c>
      <c r="B93" s="20">
        <v>6.4999999999999997E-4</v>
      </c>
      <c r="C93" s="14">
        <f t="shared" si="2"/>
        <v>7.8279455059533376E-3</v>
      </c>
    </row>
    <row r="94" spans="1:3" x14ac:dyDescent="0.25">
      <c r="A94" s="11">
        <v>47238</v>
      </c>
      <c r="B94" s="20">
        <v>6.4999999999999997E-4</v>
      </c>
      <c r="C94" s="14">
        <f t="shared" si="2"/>
        <v>7.8279455059533376E-3</v>
      </c>
    </row>
    <row r="95" spans="1:3" x14ac:dyDescent="0.25">
      <c r="A95" s="11">
        <v>47269</v>
      </c>
      <c r="B95" s="20">
        <v>6.4999999999999997E-4</v>
      </c>
      <c r="C95" s="14">
        <f t="shared" si="2"/>
        <v>7.8279455059533376E-3</v>
      </c>
    </row>
    <row r="96" spans="1:3" x14ac:dyDescent="0.25">
      <c r="A96" s="11">
        <v>47299</v>
      </c>
      <c r="B96" s="20">
        <v>6.4999999999999997E-4</v>
      </c>
      <c r="C96" s="14">
        <f t="shared" si="2"/>
        <v>7.8279455059533376E-3</v>
      </c>
    </row>
    <row r="97" spans="1:3" x14ac:dyDescent="0.25">
      <c r="A97" s="11">
        <v>47330</v>
      </c>
      <c r="B97" s="20">
        <v>6.4999999999999997E-4</v>
      </c>
      <c r="C97" s="14">
        <f t="shared" si="2"/>
        <v>7.8279455059533376E-3</v>
      </c>
    </row>
    <row r="98" spans="1:3" x14ac:dyDescent="0.25">
      <c r="A98" s="11">
        <v>47361</v>
      </c>
      <c r="B98" s="20">
        <v>6.4999999999999997E-4</v>
      </c>
      <c r="C98" s="14">
        <f t="shared" si="2"/>
        <v>7.8279455059533376E-3</v>
      </c>
    </row>
    <row r="99" spans="1:3" x14ac:dyDescent="0.25">
      <c r="A99" s="11">
        <v>47391</v>
      </c>
      <c r="B99" s="20">
        <v>6.4999999999999997E-4</v>
      </c>
      <c r="C99" s="14">
        <f t="shared" si="2"/>
        <v>7.8279455059533376E-3</v>
      </c>
    </row>
    <row r="100" spans="1:3" x14ac:dyDescent="0.25">
      <c r="A100" s="11">
        <v>47422</v>
      </c>
      <c r="B100" s="20">
        <v>6.4999999999999997E-4</v>
      </c>
      <c r="C100" s="14">
        <f t="shared" si="2"/>
        <v>7.8279455059533376E-3</v>
      </c>
    </row>
    <row r="101" spans="1:3" x14ac:dyDescent="0.25">
      <c r="A101" s="11">
        <v>47452</v>
      </c>
      <c r="B101" s="20">
        <v>6.4999999999999997E-4</v>
      </c>
      <c r="C101" s="14">
        <f t="shared" si="2"/>
        <v>7.8279455059533376E-3</v>
      </c>
    </row>
    <row r="102" spans="1:3" x14ac:dyDescent="0.25">
      <c r="A102" s="11">
        <v>47483</v>
      </c>
      <c r="B102" s="20">
        <v>6.4999999999999997E-4</v>
      </c>
      <c r="C102" s="14">
        <f t="shared" si="2"/>
        <v>7.8279455059533376E-3</v>
      </c>
    </row>
    <row r="103" spans="1:3" x14ac:dyDescent="0.25">
      <c r="A103" s="11">
        <v>47514</v>
      </c>
      <c r="B103" s="20">
        <v>6.4999999999999997E-4</v>
      </c>
      <c r="C103" s="14">
        <f t="shared" si="2"/>
        <v>7.8279455059533376E-3</v>
      </c>
    </row>
    <row r="104" spans="1:3" x14ac:dyDescent="0.25">
      <c r="A104" s="11">
        <v>47542</v>
      </c>
      <c r="B104" s="20">
        <v>6.4999999999999997E-4</v>
      </c>
      <c r="C104" s="14">
        <f t="shared" si="2"/>
        <v>7.8279455059533376E-3</v>
      </c>
    </row>
    <row r="105" spans="1:3" x14ac:dyDescent="0.25">
      <c r="A105" s="11">
        <v>47573</v>
      </c>
      <c r="B105" s="20">
        <v>6.4999999999999997E-4</v>
      </c>
      <c r="C105" s="14">
        <f t="shared" si="2"/>
        <v>7.8279455059533376E-3</v>
      </c>
    </row>
    <row r="106" spans="1:3" x14ac:dyDescent="0.25">
      <c r="A106" s="11">
        <v>47603</v>
      </c>
      <c r="B106" s="20">
        <v>6.4999999999999997E-4</v>
      </c>
      <c r="C106" s="14">
        <f t="shared" si="2"/>
        <v>7.8279455059533376E-3</v>
      </c>
    </row>
    <row r="107" spans="1:3" x14ac:dyDescent="0.25">
      <c r="A107" s="11">
        <v>47634</v>
      </c>
      <c r="B107" s="20">
        <v>6.4999999999999997E-4</v>
      </c>
      <c r="C107" s="14">
        <f t="shared" si="2"/>
        <v>7.8279455059533376E-3</v>
      </c>
    </row>
    <row r="108" spans="1:3" x14ac:dyDescent="0.25">
      <c r="A108" s="11">
        <v>47664</v>
      </c>
      <c r="B108" s="20">
        <v>6.4999999999999997E-4</v>
      </c>
      <c r="C108" s="14">
        <f t="shared" si="2"/>
        <v>7.8279455059533376E-3</v>
      </c>
    </row>
    <row r="109" spans="1:3" x14ac:dyDescent="0.25">
      <c r="A109" s="11">
        <v>47695</v>
      </c>
      <c r="B109" s="20">
        <v>6.4999999999999997E-4</v>
      </c>
      <c r="C109" s="14">
        <f t="shared" si="2"/>
        <v>7.8279455059533376E-3</v>
      </c>
    </row>
    <row r="110" spans="1:3" x14ac:dyDescent="0.25">
      <c r="A110" s="11">
        <v>47726</v>
      </c>
      <c r="B110" s="20">
        <v>6.4999999999999997E-4</v>
      </c>
      <c r="C110" s="14">
        <f t="shared" si="2"/>
        <v>7.8279455059533376E-3</v>
      </c>
    </row>
    <row r="111" spans="1:3" x14ac:dyDescent="0.25">
      <c r="A111" s="11">
        <v>47756</v>
      </c>
      <c r="B111" s="20">
        <v>6.4999999999999997E-4</v>
      </c>
      <c r="C111" s="14">
        <f t="shared" si="2"/>
        <v>7.8279455059533376E-3</v>
      </c>
    </row>
    <row r="112" spans="1:3" x14ac:dyDescent="0.25">
      <c r="A112" s="11">
        <v>47787</v>
      </c>
      <c r="B112" s="20">
        <v>6.4999999999999997E-4</v>
      </c>
      <c r="C112" s="14">
        <f t="shared" si="2"/>
        <v>7.8279455059533376E-3</v>
      </c>
    </row>
  </sheetData>
  <conditionalFormatting sqref="K25 G25 O25 S25 W25 AA25">
    <cfRule type="colorScale" priority="1">
      <colorScale>
        <cfvo type="num" val="-0.02"/>
        <cfvo type="num" val="0"/>
        <cfvo type="num" val="0.02"/>
        <color rgb="FFF8696B"/>
        <color rgb="FFFCFCFF"/>
        <color rgb="FF5A8AC6"/>
      </colorScale>
    </cfRule>
  </conditionalFormatting>
  <hyperlinks>
    <hyperlink ref="Y25" r:id="rId1" xr:uid="{63B0B65C-4F5E-42CE-BF87-03AE168E766D}"/>
    <hyperlink ref="U25" r:id="rId2" xr:uid="{BE60CA98-5356-4160-8B09-760521C6B12D}"/>
    <hyperlink ref="Q25" r:id="rId3" xr:uid="{B7C6663B-0A0C-414F-90AB-1763B62F9929}"/>
    <hyperlink ref="M25" r:id="rId4" xr:uid="{85C51441-C469-4429-BD0B-70211693FC7B}"/>
    <hyperlink ref="I25" r:id="rId5" xr:uid="{ACC2B0B4-DDB3-41D3-9838-58BCC54BA6C6}"/>
    <hyperlink ref="E25" r:id="rId6" xr:uid="{DCB4EC27-F099-4BB3-AF00-7C5D9FF7C05F}"/>
  </hyperlinks>
  <pageMargins left="0.7" right="0.7" top="0.75" bottom="0.75" header="0.3" footer="0.3"/>
  <pageSetup paperSize="9"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F252-AE78-4A64-9284-05DDEF1E8793}">
  <dimension ref="A1:I36"/>
  <sheetViews>
    <sheetView zoomScale="180" zoomScaleNormal="180" workbookViewId="0">
      <selection activeCell="B22" sqref="B22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12" bestFit="1" customWidth="1"/>
    <col min="4" max="4" width="11.7109375" bestFit="1" customWidth="1"/>
    <col min="5" max="5" width="12" bestFit="1" customWidth="1"/>
    <col min="6" max="6" width="11.7109375" bestFit="1" customWidth="1"/>
  </cols>
  <sheetData>
    <row r="1" spans="1:9" x14ac:dyDescent="0.25">
      <c r="A1" s="3" t="s">
        <v>1</v>
      </c>
      <c r="B1" s="3" t="s">
        <v>23</v>
      </c>
      <c r="C1" s="3" t="s">
        <v>27</v>
      </c>
      <c r="D1" s="3" t="s">
        <v>28</v>
      </c>
      <c r="E1" s="3" t="s">
        <v>27</v>
      </c>
      <c r="F1" s="3" t="s">
        <v>28</v>
      </c>
    </row>
    <row r="2" spans="1:9" x14ac:dyDescent="0.25">
      <c r="A2" s="4">
        <v>44734</v>
      </c>
      <c r="B2" s="4"/>
      <c r="C2">
        <v>-100</v>
      </c>
      <c r="D2">
        <v>-100</v>
      </c>
      <c r="E2">
        <v>-100</v>
      </c>
      <c r="F2">
        <v>-100</v>
      </c>
    </row>
    <row r="3" spans="1:9" x14ac:dyDescent="0.25">
      <c r="A3" s="4">
        <v>44923</v>
      </c>
      <c r="B3">
        <v>1.06382</v>
      </c>
      <c r="C3" s="7">
        <f>($B3-1)*100+1.6/2*$B3</f>
        <v>7.2330559999999986</v>
      </c>
      <c r="D3" s="7">
        <f>C3*(1-12.5%)</f>
        <v>6.3289239999999989</v>
      </c>
      <c r="E3" s="7">
        <f>($B3-1)*100+1.6/2*$B3</f>
        <v>7.2330559999999986</v>
      </c>
      <c r="F3" s="7">
        <f>E3*(1-12.5%)</f>
        <v>6.3289239999999989</v>
      </c>
      <c r="H3">
        <v>85.95</v>
      </c>
      <c r="I3" s="26">
        <f>YIELD($A$2,"1/12/2032",2.5%,H3,100,2)</f>
        <v>4.1736115198369048E-2</v>
      </c>
    </row>
    <row r="4" spans="1:9" x14ac:dyDescent="0.25">
      <c r="A4" s="4">
        <v>45105</v>
      </c>
      <c r="B4">
        <v>1.01403</v>
      </c>
      <c r="C4" s="7">
        <f t="shared" ref="C4:C7" si="0">($B4-1)*100+1.6/2*$B4</f>
        <v>2.2142239999999989</v>
      </c>
      <c r="D4" s="7">
        <f t="shared" ref="D4:D7" si="1">C4*(1-12.5%)</f>
        <v>1.9374459999999991</v>
      </c>
      <c r="E4" s="7">
        <f t="shared" ref="E4:E7" si="2">($B4-1)*100+1.6/2*$B4</f>
        <v>2.2142239999999989</v>
      </c>
      <c r="F4" s="7">
        <f t="shared" ref="F4" si="3">E4*(1-12.5%)</f>
        <v>1.9374459999999991</v>
      </c>
      <c r="H4">
        <v>92.7</v>
      </c>
      <c r="I4" s="26">
        <f>YIELD($A$2,"1/12/2032",2.5%,H4,100,2)</f>
        <v>3.3334689333011765E-2</v>
      </c>
    </row>
    <row r="5" spans="1:9" x14ac:dyDescent="0.25">
      <c r="A5" s="4">
        <v>45288</v>
      </c>
      <c r="B5">
        <v>1.0072099999999999</v>
      </c>
      <c r="C5" s="7">
        <f t="shared" si="0"/>
        <v>1.5267679999999939</v>
      </c>
      <c r="D5" s="7">
        <f t="shared" si="1"/>
        <v>1.3359219999999947</v>
      </c>
      <c r="E5" s="7">
        <f t="shared" si="2"/>
        <v>1.5267679999999939</v>
      </c>
      <c r="F5" s="7">
        <f t="shared" ref="F5" si="4">E5*(1-12.5%)</f>
        <v>1.3359219999999947</v>
      </c>
      <c r="H5">
        <v>90.55</v>
      </c>
      <c r="I5" s="26">
        <f>YIELD($A$2,"1/12/2032",2.5%,H5,100,2)</f>
        <v>3.5932826710090918E-2</v>
      </c>
    </row>
    <row r="6" spans="1:9" x14ac:dyDescent="0.25">
      <c r="A6" s="4">
        <v>45471</v>
      </c>
      <c r="B6">
        <v>1.00081</v>
      </c>
      <c r="C6" s="7">
        <f t="shared" si="0"/>
        <v>0.88164799999999777</v>
      </c>
      <c r="D6" s="7">
        <f t="shared" si="1"/>
        <v>0.77144199999999807</v>
      </c>
      <c r="E6" s="7">
        <f t="shared" si="2"/>
        <v>0.88164799999999777</v>
      </c>
      <c r="F6" s="7">
        <f t="shared" ref="F6" si="5">E6*(1-12.5%)</f>
        <v>0.77144199999999807</v>
      </c>
    </row>
    <row r="7" spans="1:9" x14ac:dyDescent="0.25">
      <c r="A7" s="4">
        <v>45654</v>
      </c>
      <c r="B7" s="24">
        <v>1.0057</v>
      </c>
      <c r="C7" s="7">
        <f t="shared" si="0"/>
        <v>1.3745600000000038</v>
      </c>
      <c r="D7" s="7">
        <f t="shared" si="1"/>
        <v>1.2027400000000033</v>
      </c>
      <c r="E7" s="7">
        <f t="shared" si="2"/>
        <v>1.3745600000000038</v>
      </c>
      <c r="F7" s="7">
        <f t="shared" ref="F7:F21" si="6">E7*(1-12.5%)</f>
        <v>1.2027400000000033</v>
      </c>
    </row>
    <row r="8" spans="1:9" x14ac:dyDescent="0.25">
      <c r="A8" s="4">
        <v>45654</v>
      </c>
      <c r="B8" s="25"/>
      <c r="C8">
        <v>96.84</v>
      </c>
      <c r="D8" s="7">
        <f>C8</f>
        <v>96.84</v>
      </c>
      <c r="F8" s="7"/>
    </row>
    <row r="9" spans="1:9" x14ac:dyDescent="0.25">
      <c r="A9" s="4">
        <v>45836</v>
      </c>
      <c r="B9" s="4"/>
      <c r="E9" s="5">
        <v>1.2</v>
      </c>
      <c r="F9" s="7">
        <f t="shared" si="6"/>
        <v>1.05</v>
      </c>
    </row>
    <row r="10" spans="1:9" x14ac:dyDescent="0.25">
      <c r="A10" s="4">
        <v>46019</v>
      </c>
      <c r="B10" s="4"/>
      <c r="E10" s="5">
        <f>E9</f>
        <v>1.2</v>
      </c>
      <c r="F10" s="7">
        <f t="shared" si="6"/>
        <v>1.05</v>
      </c>
    </row>
    <row r="11" spans="1:9" x14ac:dyDescent="0.25">
      <c r="A11" s="4">
        <v>46201</v>
      </c>
      <c r="B11" s="4"/>
      <c r="E11" s="5">
        <f t="shared" ref="E11:E20" si="7">E10</f>
        <v>1.2</v>
      </c>
      <c r="F11" s="7">
        <f t="shared" si="6"/>
        <v>1.05</v>
      </c>
    </row>
    <row r="12" spans="1:9" x14ac:dyDescent="0.25">
      <c r="A12" s="4">
        <v>46201</v>
      </c>
      <c r="B12" s="4"/>
      <c r="E12" s="7">
        <v>0.4</v>
      </c>
      <c r="F12" s="7">
        <f t="shared" si="6"/>
        <v>0.35000000000000003</v>
      </c>
    </row>
    <row r="13" spans="1:9" x14ac:dyDescent="0.25">
      <c r="A13" s="4">
        <v>46384</v>
      </c>
      <c r="B13" s="4"/>
      <c r="E13" s="5">
        <f>E11</f>
        <v>1.2</v>
      </c>
      <c r="F13" s="7">
        <f t="shared" si="6"/>
        <v>1.05</v>
      </c>
    </row>
    <row r="14" spans="1:9" x14ac:dyDescent="0.25">
      <c r="A14" s="4">
        <v>46566</v>
      </c>
      <c r="B14" s="4"/>
      <c r="E14" s="5">
        <f t="shared" si="7"/>
        <v>1.2</v>
      </c>
      <c r="F14" s="7">
        <f t="shared" si="6"/>
        <v>1.05</v>
      </c>
    </row>
    <row r="15" spans="1:9" x14ac:dyDescent="0.25">
      <c r="A15" s="4">
        <v>46749</v>
      </c>
      <c r="B15" s="4"/>
      <c r="E15" s="5">
        <f t="shared" si="7"/>
        <v>1.2</v>
      </c>
      <c r="F15" s="7">
        <f t="shared" si="6"/>
        <v>1.05</v>
      </c>
    </row>
    <row r="16" spans="1:9" x14ac:dyDescent="0.25">
      <c r="A16" s="4">
        <v>46932</v>
      </c>
      <c r="B16" s="4"/>
      <c r="E16" s="5">
        <f t="shared" si="7"/>
        <v>1.2</v>
      </c>
      <c r="F16" s="7">
        <f t="shared" si="6"/>
        <v>1.05</v>
      </c>
    </row>
    <row r="17" spans="1:6" x14ac:dyDescent="0.25">
      <c r="A17" s="4">
        <v>47115</v>
      </c>
      <c r="B17" s="4"/>
      <c r="E17" s="5">
        <f t="shared" si="7"/>
        <v>1.2</v>
      </c>
      <c r="F17" s="7">
        <f t="shared" si="6"/>
        <v>1.05</v>
      </c>
    </row>
    <row r="18" spans="1:6" x14ac:dyDescent="0.25">
      <c r="A18" s="4">
        <v>47297</v>
      </c>
      <c r="B18" s="4"/>
      <c r="E18" s="5">
        <f t="shared" si="7"/>
        <v>1.2</v>
      </c>
      <c r="F18" s="7">
        <f t="shared" si="6"/>
        <v>1.05</v>
      </c>
    </row>
    <row r="19" spans="1:6" x14ac:dyDescent="0.25">
      <c r="A19" s="4">
        <v>47480</v>
      </c>
      <c r="B19" s="4"/>
      <c r="E19" s="5">
        <f t="shared" si="7"/>
        <v>1.2</v>
      </c>
      <c r="F19" s="7">
        <f t="shared" si="6"/>
        <v>1.05</v>
      </c>
    </row>
    <row r="20" spans="1:6" x14ac:dyDescent="0.25">
      <c r="A20" s="4">
        <v>47662</v>
      </c>
      <c r="B20" s="4"/>
      <c r="E20" s="5">
        <f t="shared" si="7"/>
        <v>1.2</v>
      </c>
      <c r="F20" s="7">
        <f t="shared" si="6"/>
        <v>1.05</v>
      </c>
    </row>
    <row r="21" spans="1:6" x14ac:dyDescent="0.25">
      <c r="A21" s="4">
        <v>47662</v>
      </c>
      <c r="B21" s="4"/>
      <c r="E21" s="7">
        <v>0.6</v>
      </c>
      <c r="F21" s="7">
        <f t="shared" si="6"/>
        <v>0.52500000000000002</v>
      </c>
    </row>
    <row r="22" spans="1:6" x14ac:dyDescent="0.25">
      <c r="A22" s="4">
        <v>47662</v>
      </c>
      <c r="B22" s="4"/>
      <c r="E22">
        <v>100</v>
      </c>
      <c r="F22" s="18">
        <v>100</v>
      </c>
    </row>
    <row r="24" spans="1:6" x14ac:dyDescent="0.25">
      <c r="A24" t="s">
        <v>24</v>
      </c>
      <c r="C24" s="12">
        <f>XIRR(C2:C22,$A$2:$A$22)</f>
        <v>4.1954472661018385E-2</v>
      </c>
      <c r="D24" s="12">
        <f>XIRR(D2:D22,$A$2:$A$22)</f>
        <v>3.4891042113304141E-2</v>
      </c>
      <c r="E24" s="12">
        <f t="shared" ref="E24:F24" si="8">XIRR(E2:E22,$A$2:$A$22)</f>
        <v>3.5598602890968334E-2</v>
      </c>
      <c r="F24" s="12">
        <f t="shared" si="8"/>
        <v>3.0986335873603828E-2</v>
      </c>
    </row>
    <row r="25" spans="1:6" x14ac:dyDescent="0.25">
      <c r="A25" t="s">
        <v>25</v>
      </c>
      <c r="C25" s="12">
        <f>SUM(C2:C22)/100</f>
        <v>0.10070256000000001</v>
      </c>
      <c r="D25" s="12">
        <f>SUM(D2:D22)/100</f>
        <v>8.4164739999999932E-2</v>
      </c>
      <c r="E25" s="12">
        <f t="shared" ref="E25:F25" si="9">SUM(E2:E22)/100</f>
        <v>0.27430256000000031</v>
      </c>
      <c r="F25" s="12">
        <f t="shared" si="9"/>
        <v>0.24001473999999959</v>
      </c>
    </row>
    <row r="26" spans="1:6" x14ac:dyDescent="0.25">
      <c r="A26" t="s">
        <v>26</v>
      </c>
      <c r="C26" s="12" cm="1">
        <f t="array" ref="C26">(1+C25)^(365.25/(LOOKUP(2,1/(C2:C22&lt;&gt;""),$A2:$A22)-$A$2))-1</f>
        <v>3.8827489970436391E-2</v>
      </c>
      <c r="D26" s="12" cm="1">
        <f t="array" ref="D26">(1+D25)^(365.25/(LOOKUP(2,1/(D2:D22&lt;&gt;""),$A2:$A22)-$A$2))-1</f>
        <v>3.2602583118102713E-2</v>
      </c>
      <c r="E26" s="12" cm="1">
        <f t="array" ref="E26">(1+E25)^(365.25/(LOOKUP(2,1/(E2:E22&lt;&gt;""),$A2:$A22)-$A$2))-1</f>
        <v>3.0699592022968014E-2</v>
      </c>
      <c r="F26" s="12" cm="1">
        <f t="array" ref="F26">(1+F25)^(365.25/(LOOKUP(2,1/(F2:F22&lt;&gt;""),$A2:$A22)-$A$2))-1</f>
        <v>2.7198614391404474E-2</v>
      </c>
    </row>
    <row r="36" spans="9:9" x14ac:dyDescent="0.25">
      <c r="I36" s="26"/>
    </row>
  </sheetData>
  <pageMargins left="0.7" right="0.7" top="0.75" bottom="0.75" header="0.3" footer="0.3"/>
  <ignoredErrors>
    <ignoredError sqref="D3:D7 E3: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9994c1-4b93-4fa0-854d-5766c25d84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55F6533957E4DB6DE4C9233A2627D" ma:contentTypeVersion="16" ma:contentTypeDescription="Create a new document." ma:contentTypeScope="" ma:versionID="cc0a05e2eb02a1b5d41441b6cb18c74f">
  <xsd:schema xmlns:xsd="http://www.w3.org/2001/XMLSchema" xmlns:xs="http://www.w3.org/2001/XMLSchema" xmlns:p="http://schemas.microsoft.com/office/2006/metadata/properties" xmlns:ns3="0fe1f3e0-650a-4a78-921a-4926ce266b37" xmlns:ns4="c89994c1-4b93-4fa0-854d-5766c25d84a0" targetNamespace="http://schemas.microsoft.com/office/2006/metadata/properties" ma:root="true" ma:fieldsID="88c51ff052b3c954673f60077eb5dd57" ns3:_="" ns4:_="">
    <xsd:import namespace="0fe1f3e0-650a-4a78-921a-4926ce266b37"/>
    <xsd:import namespace="c89994c1-4b93-4fa0-854d-5766c25d84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1f3e0-650a-4a78-921a-4926ce266b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94c1-4b93-4fa0-854d-5766c25d8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8D7CFC-1A15-4E45-8CA0-728DF17A5C7D}">
  <ds:schemaRefs>
    <ds:schemaRef ds:uri="http://schemas.microsoft.com/office/2006/documentManagement/types"/>
    <ds:schemaRef ds:uri="http://schemas.openxmlformats.org/package/2006/metadata/core-properties"/>
    <ds:schemaRef ds:uri="c89994c1-4b93-4fa0-854d-5766c25d84a0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0fe1f3e0-650a-4a78-921a-4926ce266b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EEAD80-875B-4852-B8A9-EDEA049F8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CB6892-81F7-48A6-BDFD-09D5D356B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1f3e0-650a-4a78-921a-4926ce266b37"/>
    <ds:schemaRef ds:uri="c89994c1-4b93-4fa0-854d-5766c25d8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BTP Italia analisi nov 2024</vt:lpstr>
      <vt:lpstr>Guadagno finora</vt:lpstr>
      <vt:lpstr>'BTP Italia analisi nov 2024'!bonus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2024-05-08T09:12:05Z</dcterms:created>
  <dcterms:modified xsi:type="dcterms:W3CDTF">2024-11-06T11:19:30Z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0x010100BE155F6533957E4DB6DE4C9233A2627D</vt:lpwstr>
  </property>
</Properties>
</file>