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D403535F-76C5-4E2D-952D-7D9F7386B7C9}" xr6:coauthVersionLast="47" xr6:coauthVersionMax="47" xr10:uidLastSave="{00000000-0000-0000-0000-000000000000}"/>
  <bookViews>
    <workbookView xWindow="-120" yWindow="-120" windowWidth="29040" windowHeight="15720" activeTab="2" xr2:uid="{575DFB49-2DED-4443-B5A4-1365443335A2}"/>
  </bookViews>
  <sheets>
    <sheet name="Lordo" sheetId="1" r:id="rId1"/>
    <sheet name="Netto" sheetId="4" r:id="rId2"/>
    <sheet name="Netto con cambio" sheetId="5" r:id="rId3"/>
  </sheets>
  <definedNames>
    <definedName name="bollo">#REF!</definedName>
    <definedName name="cedola" localSheetId="1">Netto!$H$2</definedName>
    <definedName name="cedola" localSheetId="2">'Netto con cambio'!$H$2</definedName>
    <definedName name="cedola">Lordo!$H$2</definedName>
    <definedName name="cedola_diviso_2" localSheetId="1">Netto!#REF!</definedName>
    <definedName name="cedola_diviso_2" localSheetId="2">'Netto con cambio'!#REF!</definedName>
    <definedName name="cedola_diviso_2">Lordo!#REF!</definedName>
    <definedName name="cedola_diviso_due" localSheetId="1">Netto!#REF!</definedName>
    <definedName name="cedola_diviso_due" localSheetId="2">'Netto con cambio'!#REF!</definedName>
    <definedName name="cedola_diviso_due">Lordo!#REF!</definedName>
    <definedName name="cedola_semestrale" localSheetId="1">Netto!#REF!</definedName>
    <definedName name="cedola_semestrale" localSheetId="2">'Netto con cambio'!#REF!</definedName>
    <definedName name="cedola_semestrale">Lordo!#REF!</definedName>
    <definedName name="investito" localSheetId="1">Netto!$H$1</definedName>
    <definedName name="investito" localSheetId="2">'Netto con cambio'!$H$1</definedName>
    <definedName name="investito">Lordo!$H$1</definedName>
    <definedName name="plus">#REF!</definedName>
    <definedName name="tas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5" l="1"/>
  <c r="K16" i="5"/>
  <c r="K15" i="5"/>
  <c r="K14" i="5"/>
  <c r="K13" i="5"/>
  <c r="K12" i="5"/>
  <c r="B15" i="5"/>
  <c r="K11" i="5"/>
  <c r="B14" i="5"/>
  <c r="K10" i="5"/>
  <c r="E12" i="5"/>
  <c r="E13" i="5" s="1"/>
  <c r="E14" i="5" s="1"/>
  <c r="B12" i="5"/>
  <c r="K9" i="5"/>
  <c r="E11" i="5"/>
  <c r="B11" i="5"/>
  <c r="K8" i="5"/>
  <c r="E9" i="5"/>
  <c r="D9" i="5"/>
  <c r="D10" i="5" s="1"/>
  <c r="D15" i="5" s="1"/>
  <c r="B9" i="5"/>
  <c r="K7" i="5"/>
  <c r="E8" i="5"/>
  <c r="D8" i="5"/>
  <c r="B8" i="5"/>
  <c r="K6" i="5"/>
  <c r="E6" i="5"/>
  <c r="D6" i="5"/>
  <c r="C6" i="5"/>
  <c r="C7" i="5" s="1"/>
  <c r="C12" i="5" s="1"/>
  <c r="B6" i="5"/>
  <c r="K5" i="5"/>
  <c r="E5" i="5"/>
  <c r="D5" i="5"/>
  <c r="C5" i="5"/>
  <c r="B5" i="5"/>
  <c r="E4" i="5"/>
  <c r="D4" i="5"/>
  <c r="C4" i="5"/>
  <c r="B4" i="5"/>
  <c r="K3" i="5"/>
  <c r="E3" i="5"/>
  <c r="D3" i="5"/>
  <c r="C3" i="5"/>
  <c r="B3" i="5"/>
  <c r="K2" i="5"/>
  <c r="E2" i="5"/>
  <c r="D2" i="5"/>
  <c r="C2" i="5"/>
  <c r="B2" i="5"/>
  <c r="K15" i="4"/>
  <c r="K12" i="4"/>
  <c r="K9" i="4"/>
  <c r="K6" i="4"/>
  <c r="K3" i="4"/>
  <c r="K17" i="4"/>
  <c r="K14" i="4"/>
  <c r="K11" i="4"/>
  <c r="K8" i="4"/>
  <c r="K5" i="4"/>
  <c r="K2" i="4"/>
  <c r="K4" i="4" s="1"/>
  <c r="K16" i="4"/>
  <c r="K13" i="4"/>
  <c r="K10" i="4"/>
  <c r="K7" i="4"/>
  <c r="B12" i="4"/>
  <c r="E10" i="4"/>
  <c r="D8" i="4"/>
  <c r="C6" i="4"/>
  <c r="B7" i="1"/>
  <c r="B10" i="4"/>
  <c r="E8" i="4"/>
  <c r="B8" i="4"/>
  <c r="E6" i="4"/>
  <c r="D6" i="4"/>
  <c r="B6" i="4"/>
  <c r="C4" i="4"/>
  <c r="D4" i="4"/>
  <c r="E4" i="4"/>
  <c r="B4" i="4"/>
  <c r="B11" i="4"/>
  <c r="E9" i="4"/>
  <c r="B9" i="4"/>
  <c r="E7" i="4"/>
  <c r="D7" i="4"/>
  <c r="B7" i="4"/>
  <c r="E5" i="4"/>
  <c r="D5" i="4"/>
  <c r="C5" i="4"/>
  <c r="B5" i="4"/>
  <c r="C3" i="4"/>
  <c r="D3" i="4"/>
  <c r="E3" i="4"/>
  <c r="B3" i="4"/>
  <c r="E2" i="4"/>
  <c r="D2" i="4"/>
  <c r="C2" i="4"/>
  <c r="B2" i="4"/>
  <c r="C4" i="1"/>
  <c r="D5" i="1"/>
  <c r="E6" i="1"/>
  <c r="C3" i="1"/>
  <c r="D3" i="1"/>
  <c r="E3" i="1"/>
  <c r="D4" i="1"/>
  <c r="E4" i="1"/>
  <c r="E5" i="1"/>
  <c r="B4" i="1"/>
  <c r="B5" i="1"/>
  <c r="B6" i="1"/>
  <c r="B3" i="1"/>
  <c r="D12" i="5" l="1"/>
  <c r="C15" i="5"/>
  <c r="C9" i="5"/>
  <c r="E15" i="5"/>
  <c r="E19" i="5" s="1"/>
  <c r="E20" i="5" s="1"/>
  <c r="E21" i="5" s="1" a="1"/>
  <c r="E21" i="5" s="1"/>
  <c r="C14" i="5"/>
  <c r="C11" i="5"/>
  <c r="C8" i="5"/>
  <c r="D14" i="5"/>
  <c r="D11" i="5"/>
  <c r="E18" i="5"/>
  <c r="E22" i="5"/>
  <c r="K4" i="5"/>
  <c r="K24" i="5" s="1"/>
  <c r="B18" i="5"/>
  <c r="B22" i="5"/>
  <c r="K20" i="5"/>
  <c r="B19" i="5"/>
  <c r="B20" i="5" s="1"/>
  <c r="B21" i="5" s="1" a="1"/>
  <c r="B21" i="5" s="1"/>
  <c r="K24" i="4"/>
  <c r="K20" i="4"/>
  <c r="K21" i="4"/>
  <c r="K22" i="4" s="1"/>
  <c r="K23" i="4" s="1" a="1"/>
  <c r="K23" i="4" s="1"/>
  <c r="C19" i="4"/>
  <c r="D19" i="4"/>
  <c r="B19" i="4"/>
  <c r="B15" i="4"/>
  <c r="E16" i="4"/>
  <c r="E17" i="4" s="1"/>
  <c r="E18" i="4" s="1" a="1"/>
  <c r="E18" i="4" s="1"/>
  <c r="D16" i="4"/>
  <c r="D17" i="4" s="1"/>
  <c r="D18" i="4" s="1" a="1"/>
  <c r="D18" i="4" s="1"/>
  <c r="C15" i="4"/>
  <c r="E19" i="4"/>
  <c r="D15" i="4"/>
  <c r="E15" i="4"/>
  <c r="C16" i="4"/>
  <c r="C17" i="4" s="1"/>
  <c r="C18" i="4" s="1" a="1"/>
  <c r="C18" i="4" s="1"/>
  <c r="B16" i="4"/>
  <c r="B17" i="4" s="1"/>
  <c r="B18" i="4" s="1" a="1"/>
  <c r="B18" i="4" s="1"/>
  <c r="E2" i="1"/>
  <c r="D2" i="1"/>
  <c r="C2" i="1"/>
  <c r="B2" i="1"/>
  <c r="C22" i="5" l="1"/>
  <c r="D22" i="5"/>
  <c r="D19" i="5"/>
  <c r="D20" i="5" s="1"/>
  <c r="D21" i="5" s="1" a="1"/>
  <c r="D21" i="5" s="1"/>
  <c r="D18" i="5"/>
  <c r="C19" i="5"/>
  <c r="C20" i="5" s="1"/>
  <c r="C21" i="5" s="1" a="1"/>
  <c r="C21" i="5" s="1"/>
  <c r="C18" i="5"/>
  <c r="K21" i="5"/>
  <c r="K22" i="5" s="1"/>
  <c r="K23" i="5" s="1" a="1"/>
  <c r="K23" i="5" s="1"/>
  <c r="D13" i="1"/>
  <c r="D17" i="1"/>
  <c r="D14" i="1"/>
  <c r="D15" i="1" s="1"/>
  <c r="D16" i="1" s="1" a="1"/>
  <c r="D16" i="1" s="1"/>
  <c r="B14" i="1"/>
  <c r="B13" i="1"/>
  <c r="B17" i="1"/>
  <c r="C17" i="1"/>
  <c r="C14" i="1"/>
  <c r="C15" i="1" s="1"/>
  <c r="C16" i="1" s="1" a="1"/>
  <c r="C16" i="1" s="1"/>
  <c r="C13" i="1"/>
  <c r="E13" i="1"/>
  <c r="E14" i="1"/>
  <c r="E15" i="1" s="1"/>
  <c r="E16" i="1" s="1" a="1"/>
  <c r="E16" i="1" s="1"/>
  <c r="E17" i="1"/>
  <c r="B15" i="1" l="1"/>
  <c r="B16" i="1" s="1" a="1"/>
  <c r="B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<sst xmlns="http://schemas.openxmlformats.org/spreadsheetml/2006/main" count="77" uniqueCount="20">
  <si>
    <t>Data</t>
  </si>
  <si>
    <t>Flusso 1</t>
  </si>
  <si>
    <t>Investito</t>
  </si>
  <si>
    <t>Cedola</t>
  </si>
  <si>
    <t>Call 1</t>
  </si>
  <si>
    <t>Call 2</t>
  </si>
  <si>
    <t>Call 3</t>
  </si>
  <si>
    <t>TIR</t>
  </si>
  <si>
    <t>SERVA</t>
  </si>
  <si>
    <t>SERVA %</t>
  </si>
  <si>
    <t>SERVA % ann</t>
  </si>
  <si>
    <t>VAN</t>
  </si>
  <si>
    <t>Mio tasso</t>
  </si>
  <si>
    <t>ISIN</t>
  </si>
  <si>
    <t>XS2799786848</t>
  </si>
  <si>
    <t>IT0005495731</t>
  </si>
  <si>
    <t>BTP giu29</t>
  </si>
  <si>
    <t>Tassi 26</t>
  </si>
  <si>
    <t>Tassi 27</t>
  </si>
  <si>
    <t>Tassi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</si>
</sst>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+#;\-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996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/>
    <xf numFmtId="10" fontId="0" fillId="2" borderId="0" xfId="0" applyNumberFormat="1" applyFill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1" fontId="0" fillId="0" borderId="0" xfId="0" applyNumberFormat="1"/>
    <xf numFmtId="164" fontId="0" fillId="2" borderId="0" xfId="0" applyNumberFormat="1" applyFill="1"/>
    <xf numFmtId="10" fontId="0" fillId="0" borderId="0" xfId="1" applyNumberFormat="1" applyFont="1"/>
    <xf numFmtId="1" fontId="5" fillId="0" borderId="0" xfId="0" applyNumberFormat="1" applyFont="1"/>
    <xf numFmtId="9" fontId="5" fillId="0" borderId="0" xfId="1" applyFont="1"/>
    <xf numFmtId="10" fontId="5" fillId="0" borderId="0" xfId="1" applyNumberFormat="1" applyFont="1"/>
    <xf numFmtId="0" fontId="6" fillId="0" borderId="0" xfId="0" applyFont="1"/>
    <xf numFmtId="165" fontId="0" fillId="0" borderId="0" xfId="0" applyNumberFormat="1"/>
    <xf numFmtId="0" fontId="7" fillId="0" borderId="0" xfId="0" applyFont="1"/>
    <xf numFmtId="0" fontId="8" fillId="0" borderId="0" xfId="0" applyFont="1"/>
    <xf numFmtId="164" fontId="0" fillId="0" borderId="0" xfId="0" applyNumberFormat="1"/>
    <xf numFmtId="164" fontId="0" fillId="3" borderId="0" xfId="0" applyNumberFormat="1" applyFill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0" fontId="7" fillId="0" borderId="0" xfId="0" applyFont="1" applyFill="1"/>
    <xf numFmtId="164" fontId="0" fillId="0" borderId="0" xfId="0" applyNumberFormat="1" applyFill="1"/>
  </cellXfs>
  <cellStyles count="2">
    <cellStyle name="Normale" xfId="0" builtinId="0"/>
    <cellStyle name="Percentuale" xfId="1" builtinId="5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D0B1D-F243-493E-A1BB-E2229EC97AF6}">
  <dimension ref="A1:J17"/>
  <sheetViews>
    <sheetView zoomScale="205" zoomScaleNormal="205"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11.42578125" bestFit="1" customWidth="1"/>
    <col min="2" max="2" width="8" style="7" bestFit="1" customWidth="1"/>
    <col min="3" max="3" width="8.5703125" style="7" bestFit="1" customWidth="1"/>
    <col min="4" max="5" width="7.140625" style="7" bestFit="1" customWidth="1"/>
  </cols>
  <sheetData>
    <row r="1" spans="1:10" x14ac:dyDescent="0.25">
      <c r="A1" s="5" t="s">
        <v>0</v>
      </c>
      <c r="B1" s="6" t="s">
        <v>1</v>
      </c>
      <c r="C1" s="6" t="s">
        <v>4</v>
      </c>
      <c r="D1" s="6" t="s">
        <v>5</v>
      </c>
      <c r="E1" s="6" t="s">
        <v>6</v>
      </c>
      <c r="F1" s="6"/>
      <c r="G1" s="15" t="s">
        <v>2</v>
      </c>
      <c r="H1" s="2">
        <v>10000</v>
      </c>
    </row>
    <row r="2" spans="1:10" x14ac:dyDescent="0.25">
      <c r="A2" s="1">
        <v>45453</v>
      </c>
      <c r="B2" s="7">
        <f t="shared" ref="B2:E2" si="0">-investito</f>
        <v>-10000</v>
      </c>
      <c r="C2" s="7">
        <f t="shared" si="0"/>
        <v>-10000</v>
      </c>
      <c r="D2" s="7">
        <f t="shared" si="0"/>
        <v>-10000</v>
      </c>
      <c r="E2" s="7">
        <f t="shared" si="0"/>
        <v>-10000</v>
      </c>
      <c r="F2" s="7"/>
      <c r="G2" s="15" t="s">
        <v>3</v>
      </c>
      <c r="H2" s="3">
        <v>4.4999999999999998E-2</v>
      </c>
    </row>
    <row r="3" spans="1:10" x14ac:dyDescent="0.25">
      <c r="A3" s="1">
        <v>45829</v>
      </c>
      <c r="B3" s="7">
        <f>investito*cedola</f>
        <v>450</v>
      </c>
      <c r="C3" s="7">
        <f>investito*cedola</f>
        <v>450</v>
      </c>
      <c r="D3" s="7">
        <f>investito*cedola</f>
        <v>450</v>
      </c>
      <c r="E3" s="7">
        <f>investito*cedola</f>
        <v>450</v>
      </c>
      <c r="F3" s="7"/>
      <c r="G3" s="15" t="s">
        <v>4</v>
      </c>
      <c r="H3" s="8">
        <v>0.5</v>
      </c>
    </row>
    <row r="4" spans="1:10" x14ac:dyDescent="0.25">
      <c r="A4" s="1">
        <v>46194</v>
      </c>
      <c r="B4" s="7">
        <f>investito*cedola</f>
        <v>450</v>
      </c>
      <c r="C4" s="7">
        <f>investito*cedola+investito+investito*cedola*_xlfn.XLOOKUP(C1,$G$3:$G$6,$H$3:$H$6)</f>
        <v>10675</v>
      </c>
      <c r="D4" s="7">
        <f>investito*cedola</f>
        <v>450</v>
      </c>
      <c r="E4" s="7">
        <f>investito*cedola</f>
        <v>450</v>
      </c>
      <c r="F4" s="7"/>
      <c r="G4" s="15" t="s">
        <v>5</v>
      </c>
      <c r="H4" s="8">
        <v>0.25</v>
      </c>
    </row>
    <row r="5" spans="1:10" x14ac:dyDescent="0.25">
      <c r="A5" s="1">
        <v>46559</v>
      </c>
      <c r="B5" s="7">
        <f>investito*cedola</f>
        <v>450</v>
      </c>
      <c r="C5" s="7">
        <v>0</v>
      </c>
      <c r="D5" s="7">
        <f>investito*cedola+investito+investito*cedola*_xlfn.XLOOKUP(D1,$G$3:$G$6,$H$3:$H$6)</f>
        <v>10562.5</v>
      </c>
      <c r="E5" s="7">
        <f>investito*cedola</f>
        <v>450</v>
      </c>
      <c r="F5" s="7"/>
      <c r="G5" s="15" t="s">
        <v>6</v>
      </c>
      <c r="H5" s="8">
        <v>0</v>
      </c>
    </row>
    <row r="6" spans="1:10" x14ac:dyDescent="0.25">
      <c r="A6" s="1">
        <v>46925</v>
      </c>
      <c r="B6" s="7">
        <f>investito*cedola</f>
        <v>450</v>
      </c>
      <c r="C6" s="7">
        <v>0</v>
      </c>
      <c r="D6" s="7">
        <v>0</v>
      </c>
      <c r="E6" s="7">
        <f>investito*cedola+investito+investito*cedola*_xlfn.XLOOKUP(E1,$G$3:$G$6,$H$3:$H$6)</f>
        <v>10450</v>
      </c>
      <c r="F6" s="7"/>
      <c r="G6" s="22"/>
      <c r="H6" s="23"/>
    </row>
    <row r="7" spans="1:10" x14ac:dyDescent="0.25">
      <c r="A7" s="1">
        <v>47290</v>
      </c>
      <c r="B7" s="7">
        <f>investito*cedola+investito</f>
        <v>10450</v>
      </c>
      <c r="C7" s="7">
        <v>0</v>
      </c>
      <c r="D7" s="7">
        <v>0</v>
      </c>
      <c r="E7" s="7">
        <v>0</v>
      </c>
      <c r="F7" s="7"/>
      <c r="G7" s="15"/>
      <c r="H7" s="17"/>
    </row>
    <row r="8" spans="1:10" x14ac:dyDescent="0.25">
      <c r="A8" s="1"/>
      <c r="B8" s="7">
        <v>0</v>
      </c>
      <c r="C8" s="7">
        <v>0</v>
      </c>
      <c r="D8" s="7">
        <v>0</v>
      </c>
      <c r="E8" s="7">
        <v>0</v>
      </c>
      <c r="F8" s="7"/>
      <c r="G8" s="15"/>
      <c r="H8" s="17"/>
    </row>
    <row r="9" spans="1:10" x14ac:dyDescent="0.25">
      <c r="A9" s="1"/>
      <c r="B9" s="7">
        <v>0</v>
      </c>
      <c r="C9" s="7">
        <v>0</v>
      </c>
      <c r="D9" s="7">
        <v>0</v>
      </c>
      <c r="E9" s="7">
        <v>0</v>
      </c>
      <c r="F9" s="7"/>
      <c r="G9" s="13" t="s">
        <v>13</v>
      </c>
      <c r="J9" t="s">
        <v>16</v>
      </c>
    </row>
    <row r="10" spans="1:10" x14ac:dyDescent="0.25">
      <c r="A10" s="1"/>
      <c r="B10" s="7">
        <v>0</v>
      </c>
      <c r="C10" s="7">
        <v>0</v>
      </c>
      <c r="D10" s="7">
        <v>0</v>
      </c>
      <c r="E10" s="7">
        <v>0</v>
      </c>
      <c r="F10" s="7"/>
      <c r="G10" t="s">
        <v>14</v>
      </c>
      <c r="J10" t="s">
        <v>15</v>
      </c>
    </row>
    <row r="11" spans="1:10" x14ac:dyDescent="0.25">
      <c r="A11" s="1"/>
      <c r="F11" s="7"/>
      <c r="G11" s="13"/>
      <c r="J11" s="9">
        <v>3.4299999999999997E-2</v>
      </c>
    </row>
    <row r="12" spans="1:10" x14ac:dyDescent="0.25">
      <c r="A12" s="1"/>
      <c r="F12" s="7"/>
      <c r="G12" s="13"/>
    </row>
    <row r="13" spans="1:10" x14ac:dyDescent="0.25">
      <c r="A13" s="4" t="s">
        <v>7</v>
      </c>
      <c r="B13" s="9">
        <f>XIRR(B2:B7,$A$2:$A$7)</f>
        <v>4.4676110148429884E-2</v>
      </c>
      <c r="C13" s="9">
        <f>XIRR(C2:C7,$A$2:$A$7)</f>
        <v>5.5072662234306333E-2</v>
      </c>
      <c r="D13" s="9">
        <f>XIRR(D2:D7,$A$2:$A$7)</f>
        <v>4.805749952793123E-2</v>
      </c>
      <c r="E13" s="9">
        <f>XIRR(E2:E7,$A$2:$A$7)</f>
        <v>4.4604298472404491E-2</v>
      </c>
    </row>
    <row r="14" spans="1:10" x14ac:dyDescent="0.25">
      <c r="A14" s="16" t="s">
        <v>8</v>
      </c>
      <c r="B14" s="10">
        <f>SUM(B2:B7)</f>
        <v>2250</v>
      </c>
      <c r="C14" s="10">
        <f>SUM(C2:C7)</f>
        <v>1125</v>
      </c>
      <c r="D14" s="10">
        <f>SUM(D2:D7)</f>
        <v>1462.5</v>
      </c>
      <c r="E14" s="10">
        <f>SUM(E2:E7)</f>
        <v>1800</v>
      </c>
    </row>
    <row r="15" spans="1:10" x14ac:dyDescent="0.25">
      <c r="A15" s="16" t="s">
        <v>9</v>
      </c>
      <c r="B15" s="11">
        <f t="shared" ref="B15" si="1">B14/investito</f>
        <v>0.22500000000000001</v>
      </c>
      <c r="C15" s="11">
        <f t="shared" ref="C15:E15" si="2">C14/investito</f>
        <v>0.1125</v>
      </c>
      <c r="D15" s="11">
        <f t="shared" si="2"/>
        <v>0.14624999999999999</v>
      </c>
      <c r="E15" s="11">
        <f t="shared" si="2"/>
        <v>0.18</v>
      </c>
    </row>
    <row r="16" spans="1:10" x14ac:dyDescent="0.25">
      <c r="A16" s="16" t="s">
        <v>10</v>
      </c>
      <c r="B16" s="12" cm="1">
        <f t="array" ref="B16">(B15+1)^(365/(INDEX($A2:$A8,MATCH(0,B2:B8,0)-1)-$A$2))-1</f>
        <v>4.1147042710589554E-2</v>
      </c>
      <c r="C16" s="12" cm="1">
        <f t="array" ref="C16">(C15+1)^(365/(INDEX($A2:$A8,MATCH(0,C2:C8,0)-1)-$A$2))-1</f>
        <v>5.3916860683887124E-2</v>
      </c>
      <c r="D16" s="12" cm="1">
        <f t="array" ref="D16">(D15+1)^(365/(INDEX($A2:$A8,MATCH(0,D2:D8,0)-1)-$A$2))-1</f>
        <v>4.6076045237165797E-2</v>
      </c>
      <c r="E16" s="12" cm="1">
        <f t="array" ref="E16">(E15+1)^(365/(INDEX($A2:$A8,MATCH(0,E2:E8,0)-1)-$A$2))-1</f>
        <v>4.189511825305825E-2</v>
      </c>
    </row>
    <row r="17" spans="1:8" x14ac:dyDescent="0.25">
      <c r="A17" s="4" t="s">
        <v>11</v>
      </c>
      <c r="B17" s="14">
        <f>XNPV($H17,B2:B7,$A$2:$A$7)</f>
        <v>439.8099028460947</v>
      </c>
      <c r="C17" s="14">
        <f>XNPV($H17,C2:C7,$A$2:$A$7)</f>
        <v>389.23265739550516</v>
      </c>
      <c r="D17" s="14">
        <f>XNPV($H17,D2:D7,$A$2:$A$7)</f>
        <v>370.87461743280983</v>
      </c>
      <c r="E17" s="14">
        <f>XNPV($H17,E2:E7,$A$2:$A$7)</f>
        <v>355.70775998337194</v>
      </c>
      <c r="G17" s="15" t="s">
        <v>12</v>
      </c>
      <c r="H17" s="8">
        <v>3.5000000000000003E-2</v>
      </c>
    </row>
  </sheetData>
  <phoneticPr fontId="4" type="noConversion"/>
  <conditionalFormatting sqref="B2:F12">
    <cfRule type="cellIs" dxfId="2" priority="2" operator="equal">
      <formula>0</formula>
    </cfRule>
  </conditionalFormatting>
  <pageMargins left="0.7" right="0.7" top="0.75" bottom="0.75" header="0.3" footer="0.3"/>
  <ignoredErrors>
    <ignoredError sqref="C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88F0-F44D-4805-B08E-C0EE4BC19872}">
  <dimension ref="A1:K24"/>
  <sheetViews>
    <sheetView zoomScale="170" zoomScaleNormal="170" workbookViewId="0">
      <pane ySplit="1" topLeftCell="A2" activePane="bottomLeft" state="frozen"/>
      <selection pane="bottomLeft" activeCell="B15" sqref="B15:E15"/>
    </sheetView>
  </sheetViews>
  <sheetFormatPr defaultRowHeight="15" x14ac:dyDescent="0.25"/>
  <cols>
    <col min="1" max="1" width="11.42578125" bestFit="1" customWidth="1"/>
    <col min="2" max="2" width="8" style="7" bestFit="1" customWidth="1"/>
    <col min="3" max="3" width="8.5703125" style="7" bestFit="1" customWidth="1"/>
    <col min="4" max="5" width="7.140625" style="7" bestFit="1" customWidth="1"/>
    <col min="10" max="10" width="11.42578125" bestFit="1" customWidth="1"/>
    <col min="11" max="11" width="8" style="7" bestFit="1" customWidth="1"/>
  </cols>
  <sheetData>
    <row r="1" spans="1:11" x14ac:dyDescent="0.25">
      <c r="A1" s="5" t="s">
        <v>0</v>
      </c>
      <c r="B1" s="6" t="s">
        <v>1</v>
      </c>
      <c r="C1" s="6" t="s">
        <v>4</v>
      </c>
      <c r="D1" s="6" t="s">
        <v>5</v>
      </c>
      <c r="E1" s="6" t="s">
        <v>6</v>
      </c>
      <c r="F1" s="6"/>
      <c r="G1" s="15" t="s">
        <v>2</v>
      </c>
      <c r="H1" s="2">
        <v>10000</v>
      </c>
      <c r="J1" s="5" t="s">
        <v>0</v>
      </c>
      <c r="K1" s="6" t="s">
        <v>1</v>
      </c>
    </row>
    <row r="2" spans="1:11" x14ac:dyDescent="0.25">
      <c r="A2" s="1">
        <v>45453</v>
      </c>
      <c r="B2" s="7">
        <f t="shared" ref="B2:E2" si="0">-investito</f>
        <v>-10000</v>
      </c>
      <c r="C2" s="7">
        <f t="shared" si="0"/>
        <v>-10000</v>
      </c>
      <c r="D2" s="7">
        <f t="shared" si="0"/>
        <v>-10000</v>
      </c>
      <c r="E2" s="7">
        <f t="shared" si="0"/>
        <v>-10000</v>
      </c>
      <c r="F2" s="7"/>
      <c r="G2" s="15" t="s">
        <v>3</v>
      </c>
      <c r="H2" s="3">
        <v>4.4999999999999998E-2</v>
      </c>
      <c r="J2" s="1">
        <v>45458</v>
      </c>
      <c r="K2" s="7">
        <f>-9717</f>
        <v>-9717</v>
      </c>
    </row>
    <row r="3" spans="1:11" x14ac:dyDescent="0.25">
      <c r="A3" s="1">
        <v>45657</v>
      </c>
      <c r="B3" s="7">
        <f>-investito*0.2%</f>
        <v>-20</v>
      </c>
      <c r="C3" s="7">
        <f>-investito*0.2%</f>
        <v>-20</v>
      </c>
      <c r="D3" s="7">
        <f>-investito*0.2%</f>
        <v>-20</v>
      </c>
      <c r="E3" s="7">
        <f>-investito*0.2%</f>
        <v>-20</v>
      </c>
      <c r="F3" s="7"/>
      <c r="G3" s="15" t="s">
        <v>4</v>
      </c>
      <c r="H3" s="8">
        <v>0.5</v>
      </c>
      <c r="J3" s="1">
        <v>45641</v>
      </c>
      <c r="K3" s="7">
        <f>investito*2.8%/2*(1-12.5%)</f>
        <v>122.49999999999997</v>
      </c>
    </row>
    <row r="4" spans="1:11" x14ac:dyDescent="0.25">
      <c r="A4" s="1">
        <v>45829</v>
      </c>
      <c r="B4" s="7">
        <f>investito*cedola*(1-26%)</f>
        <v>333</v>
      </c>
      <c r="C4" s="7">
        <f>investito*cedola*(1-26%)</f>
        <v>333</v>
      </c>
      <c r="D4" s="7">
        <f>investito*cedola*(1-26%)</f>
        <v>333</v>
      </c>
      <c r="E4" s="7">
        <f>investito*cedola*(1-26%)</f>
        <v>333</v>
      </c>
      <c r="F4" s="7"/>
      <c r="G4" s="15" t="s">
        <v>5</v>
      </c>
      <c r="H4" s="8">
        <v>0.25</v>
      </c>
      <c r="J4" s="1">
        <v>45657</v>
      </c>
      <c r="K4" s="7">
        <f>K2*0.2%</f>
        <v>-19.434000000000001</v>
      </c>
    </row>
    <row r="5" spans="1:11" x14ac:dyDescent="0.25">
      <c r="A5" s="1">
        <v>46022</v>
      </c>
      <c r="B5" s="7">
        <f>-investito*0.2%</f>
        <v>-20</v>
      </c>
      <c r="C5" s="7">
        <f>-investito*0.2%</f>
        <v>-20</v>
      </c>
      <c r="D5" s="7">
        <f>-investito*0.2%</f>
        <v>-20</v>
      </c>
      <c r="E5" s="7">
        <f>-investito*0.2%</f>
        <v>-20</v>
      </c>
      <c r="F5" s="7"/>
      <c r="G5" s="15" t="s">
        <v>6</v>
      </c>
      <c r="H5" s="8">
        <v>0</v>
      </c>
      <c r="J5" s="1">
        <v>45823</v>
      </c>
      <c r="K5" s="7">
        <f>investito*2.8%/2*(1-12.5%)</f>
        <v>122.49999999999997</v>
      </c>
    </row>
    <row r="6" spans="1:11" x14ac:dyDescent="0.25">
      <c r="A6" s="1">
        <v>46194</v>
      </c>
      <c r="B6" s="7">
        <f>investito*cedola*(1-26%)</f>
        <v>333</v>
      </c>
      <c r="C6" s="7">
        <f>investito*cedola*(1-26%)+investito+investito*cedola*_xlfn.XLOOKUP(C1,$G$3:$G$6,$H$3:$H$6)*(1-26%)</f>
        <v>10499.5</v>
      </c>
      <c r="D6" s="7">
        <f>investito*cedola*(1-26%)</f>
        <v>333</v>
      </c>
      <c r="E6" s="7">
        <f>investito*cedola*(1-26%)</f>
        <v>333</v>
      </c>
      <c r="F6" s="7"/>
      <c r="G6" s="15"/>
      <c r="H6" s="17"/>
      <c r="J6" s="1">
        <v>46006</v>
      </c>
      <c r="K6" s="7">
        <f>investito*2.8%/2*(1-12.5%)</f>
        <v>122.49999999999997</v>
      </c>
    </row>
    <row r="7" spans="1:11" x14ac:dyDescent="0.25">
      <c r="A7" s="1">
        <v>46387</v>
      </c>
      <c r="B7" s="7">
        <f>-investito*0.2%</f>
        <v>-20</v>
      </c>
      <c r="C7" s="7">
        <v>0</v>
      </c>
      <c r="D7" s="7">
        <f>-investito*0.2%</f>
        <v>-20</v>
      </c>
      <c r="E7" s="7">
        <f>-investito*0.2%</f>
        <v>-20</v>
      </c>
      <c r="F7" s="7"/>
      <c r="G7" s="15"/>
      <c r="H7" s="17"/>
      <c r="J7" s="1">
        <v>46022</v>
      </c>
      <c r="K7" s="7">
        <f>-investito*0.2%</f>
        <v>-20</v>
      </c>
    </row>
    <row r="8" spans="1:11" x14ac:dyDescent="0.25">
      <c r="A8" s="1">
        <v>46559</v>
      </c>
      <c r="B8" s="7">
        <f>investito*cedola*(1-26%)</f>
        <v>333</v>
      </c>
      <c r="C8" s="7">
        <v>0</v>
      </c>
      <c r="D8" s="7">
        <f>investito*cedola*(1-26%)+investito+investito*cedola*_xlfn.XLOOKUP(D1,$G$3:$G$6,$H$3:$H$6)*(1-26%)</f>
        <v>10416.25</v>
      </c>
      <c r="E8" s="7">
        <f>investito*cedola*(1-26%)</f>
        <v>333</v>
      </c>
      <c r="F8" s="7"/>
      <c r="G8" s="15"/>
      <c r="H8" s="17"/>
      <c r="J8" s="1">
        <v>46188</v>
      </c>
      <c r="K8" s="7">
        <f>investito*2.8%/2*(1-12.5%)</f>
        <v>122.49999999999997</v>
      </c>
    </row>
    <row r="9" spans="1:11" x14ac:dyDescent="0.25">
      <c r="A9" s="1">
        <v>46752</v>
      </c>
      <c r="B9" s="7">
        <f>-investito*0.2%</f>
        <v>-20</v>
      </c>
      <c r="C9" s="7">
        <v>0</v>
      </c>
      <c r="D9" s="7">
        <v>0</v>
      </c>
      <c r="E9" s="7">
        <f>-investito*0.2%</f>
        <v>-20</v>
      </c>
      <c r="F9" s="7"/>
      <c r="G9" s="15"/>
      <c r="H9" s="17"/>
      <c r="J9" s="1">
        <v>46371</v>
      </c>
      <c r="K9" s="7">
        <f>investito*2.8%/2*(1-12.5%)</f>
        <v>122.49999999999997</v>
      </c>
    </row>
    <row r="10" spans="1:11" x14ac:dyDescent="0.25">
      <c r="A10" s="1">
        <v>46925</v>
      </c>
      <c r="B10" s="7">
        <f>investito*cedola*(1-26%)</f>
        <v>333</v>
      </c>
      <c r="C10" s="7">
        <v>0</v>
      </c>
      <c r="D10" s="7">
        <v>0</v>
      </c>
      <c r="E10" s="7">
        <f>investito*cedola*(1-26%)+investito+investito*cedola*_xlfn.XLOOKUP(E1,$G$3:$G$6,$H$3:$H$6)*(1-26%)</f>
        <v>10333</v>
      </c>
      <c r="F10" s="7"/>
      <c r="G10" s="13" t="s">
        <v>13</v>
      </c>
      <c r="J10" s="1">
        <v>46387</v>
      </c>
      <c r="K10" s="7">
        <f>-investito*0.2%</f>
        <v>-20</v>
      </c>
    </row>
    <row r="11" spans="1:11" x14ac:dyDescent="0.25">
      <c r="A11" s="1">
        <v>47118</v>
      </c>
      <c r="B11" s="7">
        <f>-investito*0.2%</f>
        <v>-20</v>
      </c>
      <c r="C11" s="7">
        <v>0</v>
      </c>
      <c r="D11" s="7">
        <v>0</v>
      </c>
      <c r="E11" s="7">
        <v>0</v>
      </c>
      <c r="F11" s="7"/>
      <c r="G11" t="s">
        <v>14</v>
      </c>
      <c r="J11" s="1">
        <v>46553</v>
      </c>
      <c r="K11" s="7">
        <f>investito*2.8%/2*(1-12.5%)</f>
        <v>122.49999999999997</v>
      </c>
    </row>
    <row r="12" spans="1:11" x14ac:dyDescent="0.25">
      <c r="A12" s="1">
        <v>47290</v>
      </c>
      <c r="B12" s="7">
        <f>investito*cedola*(1-26%)+investito</f>
        <v>10333</v>
      </c>
      <c r="C12" s="7">
        <v>0</v>
      </c>
      <c r="D12" s="7">
        <v>0</v>
      </c>
      <c r="E12" s="7">
        <v>0</v>
      </c>
      <c r="F12" s="7"/>
      <c r="G12" s="13"/>
      <c r="J12" s="1">
        <v>46736</v>
      </c>
      <c r="K12" s="7">
        <f>investito*2.8%/2*(1-12.5%)</f>
        <v>122.49999999999997</v>
      </c>
    </row>
    <row r="13" spans="1:11" x14ac:dyDescent="0.25">
      <c r="A13" s="1"/>
      <c r="B13" s="7">
        <v>0</v>
      </c>
      <c r="C13" s="7">
        <v>0</v>
      </c>
      <c r="D13" s="7">
        <v>0</v>
      </c>
      <c r="E13" s="7">
        <v>0</v>
      </c>
      <c r="J13" s="1">
        <v>46752</v>
      </c>
      <c r="K13" s="7">
        <f>-investito*0.2%</f>
        <v>-20</v>
      </c>
    </row>
    <row r="14" spans="1:11" x14ac:dyDescent="0.25">
      <c r="A14" s="1"/>
      <c r="B14" s="7">
        <v>0</v>
      </c>
      <c r="C14" s="7">
        <v>0</v>
      </c>
      <c r="D14" s="7">
        <v>0</v>
      </c>
      <c r="E14" s="7">
        <v>0</v>
      </c>
      <c r="J14" s="1">
        <v>46919</v>
      </c>
      <c r="K14" s="7">
        <f>investito*2.8%/2*(1-12.5%)</f>
        <v>122.49999999999997</v>
      </c>
    </row>
    <row r="15" spans="1:11" x14ac:dyDescent="0.25">
      <c r="A15" s="4" t="s">
        <v>7</v>
      </c>
      <c r="B15" s="9">
        <f>XIRR(B2:B12,$A$2:$A$12)</f>
        <v>3.10522586107254E-2</v>
      </c>
      <c r="C15" s="9">
        <f>XIRR(C2:C12,$A$2:$A$12)</f>
        <v>3.8822349905967724E-2</v>
      </c>
      <c r="D15" s="9">
        <f>XIRR(D2:D12,$A$2:$A$12)</f>
        <v>3.3597734570503232E-2</v>
      </c>
      <c r="E15" s="9">
        <f>XIRR(E2:E12,$A$2:$A$12)</f>
        <v>3.1002143025398252E-2</v>
      </c>
      <c r="J15" s="1">
        <v>47102</v>
      </c>
      <c r="K15" s="7">
        <f>investito*2.8%/2*(1-12.5%)</f>
        <v>122.49999999999997</v>
      </c>
    </row>
    <row r="16" spans="1:11" x14ac:dyDescent="0.25">
      <c r="A16" s="16" t="s">
        <v>8</v>
      </c>
      <c r="B16" s="10">
        <f>SUM(B2:B12)</f>
        <v>1565</v>
      </c>
      <c r="C16" s="10">
        <f>SUM(C2:C12)</f>
        <v>792.5</v>
      </c>
      <c r="D16" s="10">
        <f>SUM(D2:D12)</f>
        <v>1022.25</v>
      </c>
      <c r="E16" s="10">
        <f>SUM(E2:E12)</f>
        <v>1252</v>
      </c>
      <c r="J16" s="1">
        <v>47118</v>
      </c>
      <c r="K16" s="7">
        <f>-investito*0.2%</f>
        <v>-20</v>
      </c>
    </row>
    <row r="17" spans="1:11" x14ac:dyDescent="0.25">
      <c r="A17" s="16" t="s">
        <v>9</v>
      </c>
      <c r="B17" s="11">
        <f t="shared" ref="B17" si="1">B16/investito</f>
        <v>0.1565</v>
      </c>
      <c r="C17" s="11">
        <f t="shared" ref="C17:E17" si="2">C16/investito</f>
        <v>7.9250000000000001E-2</v>
      </c>
      <c r="D17" s="11">
        <f t="shared" si="2"/>
        <v>0.102225</v>
      </c>
      <c r="E17" s="11">
        <f t="shared" si="2"/>
        <v>0.12520000000000001</v>
      </c>
      <c r="J17" s="1">
        <v>47284</v>
      </c>
      <c r="K17" s="7">
        <f>investito*2.8%/2*(1-12.5%)+investito</f>
        <v>10122.5</v>
      </c>
    </row>
    <row r="18" spans="1:11" x14ac:dyDescent="0.25">
      <c r="A18" s="16" t="s">
        <v>10</v>
      </c>
      <c r="B18" s="12" cm="1">
        <f t="array" ref="B18">(B17+1)^(365/(INDEX($A2:$A13,MATCH(0,B2:B13,0)-1)-$A$2))-1</f>
        <v>2.9311035638635907E-2</v>
      </c>
      <c r="C18" s="12" cm="1">
        <f t="array" ref="C18">(C17+1)^(365/(INDEX($A2:$A13,MATCH(0,C2:C13,0)-1)-$A$2))-1</f>
        <v>3.8281661539204981E-2</v>
      </c>
      <c r="D18" s="12" cm="1">
        <f t="array" ref="D18">(D17+1)^(365/(INDEX($A2:$A13,MATCH(0,D2:D13,0)-1)-$A$2))-1</f>
        <v>3.264239090461829E-2</v>
      </c>
      <c r="E18" s="12" cm="1">
        <f t="array" ref="E18">(E17+1)^(365/(INDEX($A2:$A13,MATCH(0,E2:E13,0)-1)-$A$2))-1</f>
        <v>2.9681766742006177E-2</v>
      </c>
      <c r="J18" s="1"/>
      <c r="K18" s="7">
        <v>0</v>
      </c>
    </row>
    <row r="19" spans="1:11" x14ac:dyDescent="0.25">
      <c r="A19" s="4" t="s">
        <v>11</v>
      </c>
      <c r="B19" s="14">
        <f>XNPV($H19,B2:B12,$A$2:$A$12)</f>
        <v>-179.56510051869736</v>
      </c>
      <c r="C19" s="14">
        <f>XNPV($H19,C2:C12,$A$2:$A$12)</f>
        <v>74.07014005972087</v>
      </c>
      <c r="D19" s="14">
        <f>XNPV($H19,D2:D12,$A$2:$A$12)</f>
        <v>-39.821215240161109</v>
      </c>
      <c r="E19" s="14">
        <f>XNPV($H19,E2:E12,$A$2:$A$12)</f>
        <v>-148.17240810162184</v>
      </c>
      <c r="G19" s="15" t="s">
        <v>12</v>
      </c>
      <c r="H19" s="8">
        <v>3.5000000000000003E-2</v>
      </c>
      <c r="J19" t="s">
        <v>16</v>
      </c>
      <c r="K19" t="s">
        <v>15</v>
      </c>
    </row>
    <row r="20" spans="1:11" x14ac:dyDescent="0.25">
      <c r="J20" s="4" t="s">
        <v>7</v>
      </c>
      <c r="K20" s="9">
        <f>XIRR(K2:K17,J2:J17)</f>
        <v>2.880395948886871E-2</v>
      </c>
    </row>
    <row r="21" spans="1:11" x14ac:dyDescent="0.25">
      <c r="J21" s="16" t="s">
        <v>8</v>
      </c>
      <c r="K21" s="10">
        <f>SUM(K2:K17)</f>
        <v>1408.5660000000007</v>
      </c>
    </row>
    <row r="22" spans="1:11" x14ac:dyDescent="0.25">
      <c r="J22" s="16" t="s">
        <v>9</v>
      </c>
      <c r="K22" s="11">
        <f>K21/-K2</f>
        <v>0.1449589379438099</v>
      </c>
    </row>
    <row r="23" spans="1:11" x14ac:dyDescent="0.25">
      <c r="J23" s="16" t="s">
        <v>10</v>
      </c>
      <c r="K23" s="12" cm="1">
        <f t="array" ref="K23">(K22+1)^(365/(INDEX(J2:J18,MATCH(0,K2:K18,0)-1)-$A$2))-1</f>
        <v>2.7352430303619446E-2</v>
      </c>
    </row>
    <row r="24" spans="1:11" x14ac:dyDescent="0.25">
      <c r="J24" s="4" t="s">
        <v>11</v>
      </c>
      <c r="K24" s="14">
        <f>XNPV($H19,K2:K17,J2:J17)</f>
        <v>-273.50218569190474</v>
      </c>
    </row>
  </sheetData>
  <conditionalFormatting sqref="B2:F2 K2:K19 F3:F12 B3:E14">
    <cfRule type="cellIs" dxfId="1" priority="2" operator="equal">
      <formula>0</formula>
    </cfRule>
  </conditionalFormatting>
  <pageMargins left="0.7" right="0.7" top="0.75" bottom="0.75" header="0.3" footer="0.3"/>
  <ignoredErrors>
    <ignoredError sqref="B4:E10 K7 K10 K13 K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5491-EE24-4E0F-B35A-B6B0D2E518BC}">
  <dimension ref="A1:K24"/>
  <sheetViews>
    <sheetView tabSelected="1" zoomScale="170" zoomScaleNormal="170" workbookViewId="0">
      <pane ySplit="1" topLeftCell="A2" activePane="bottomLeft" state="frozen"/>
      <selection pane="bottomLeft" activeCell="I9" sqref="I9"/>
    </sheetView>
  </sheetViews>
  <sheetFormatPr defaultRowHeight="15" x14ac:dyDescent="0.25"/>
  <cols>
    <col min="1" max="1" width="11.42578125" bestFit="1" customWidth="1"/>
    <col min="2" max="2" width="8" style="7" bestFit="1" customWidth="1"/>
    <col min="3" max="3" width="8.5703125" style="7" bestFit="1" customWidth="1"/>
    <col min="4" max="5" width="7.140625" style="7" bestFit="1" customWidth="1"/>
    <col min="10" max="10" width="11.42578125" bestFit="1" customWidth="1"/>
    <col min="11" max="11" width="8" style="7" bestFit="1" customWidth="1"/>
  </cols>
  <sheetData>
    <row r="1" spans="1:11" x14ac:dyDescent="0.25">
      <c r="A1" s="5" t="s">
        <v>0</v>
      </c>
      <c r="B1" s="6" t="s">
        <v>1</v>
      </c>
      <c r="C1" s="6" t="s">
        <v>4</v>
      </c>
      <c r="D1" s="6" t="s">
        <v>5</v>
      </c>
      <c r="E1" s="6" t="s">
        <v>6</v>
      </c>
      <c r="F1" s="6"/>
      <c r="G1" s="15" t="s">
        <v>2</v>
      </c>
      <c r="H1" s="2">
        <v>10000</v>
      </c>
      <c r="J1" s="5" t="s">
        <v>0</v>
      </c>
      <c r="K1" s="6" t="s">
        <v>1</v>
      </c>
    </row>
    <row r="2" spans="1:11" x14ac:dyDescent="0.25">
      <c r="A2" s="1">
        <v>45453</v>
      </c>
      <c r="B2" s="7">
        <f t="shared" ref="B2:E2" si="0">-investito</f>
        <v>-10000</v>
      </c>
      <c r="C2" s="7">
        <f t="shared" si="0"/>
        <v>-10000</v>
      </c>
      <c r="D2" s="7">
        <f t="shared" si="0"/>
        <v>-10000</v>
      </c>
      <c r="E2" s="7">
        <f t="shared" si="0"/>
        <v>-10000</v>
      </c>
      <c r="F2" s="7"/>
      <c r="G2" s="15" t="s">
        <v>3</v>
      </c>
      <c r="H2" s="3">
        <v>4.4999999999999998E-2</v>
      </c>
      <c r="J2" s="1">
        <v>45458</v>
      </c>
      <c r="K2" s="7">
        <f>-9717</f>
        <v>-9717</v>
      </c>
    </row>
    <row r="3" spans="1:11" x14ac:dyDescent="0.25">
      <c r="A3" s="1">
        <v>45657</v>
      </c>
      <c r="B3" s="7">
        <f>-investito*0.2%</f>
        <v>-20</v>
      </c>
      <c r="C3" s="7">
        <f>-investito*0.2%</f>
        <v>-20</v>
      </c>
      <c r="D3" s="7">
        <f>-investito*0.2%</f>
        <v>-20</v>
      </c>
      <c r="E3" s="7">
        <f>-investito*0.2%</f>
        <v>-20</v>
      </c>
      <c r="F3" s="7"/>
      <c r="G3" s="15" t="s">
        <v>4</v>
      </c>
      <c r="H3" s="8">
        <v>0.5</v>
      </c>
      <c r="J3" s="1">
        <v>45641</v>
      </c>
      <c r="K3" s="7">
        <f>investito*2.8%/2*(1-12.5%)</f>
        <v>122.49999999999997</v>
      </c>
    </row>
    <row r="4" spans="1:11" x14ac:dyDescent="0.25">
      <c r="A4" s="1">
        <v>45829</v>
      </c>
      <c r="B4" s="7">
        <f>investito*cedola*(1-26%)</f>
        <v>333</v>
      </c>
      <c r="C4" s="7">
        <f>investito*cedola*(1-26%)</f>
        <v>333</v>
      </c>
      <c r="D4" s="7">
        <f>investito*cedola*(1-26%)</f>
        <v>333</v>
      </c>
      <c r="E4" s="7">
        <f>investito*cedola*(1-26%)</f>
        <v>333</v>
      </c>
      <c r="F4" s="7"/>
      <c r="G4" s="15" t="s">
        <v>5</v>
      </c>
      <c r="H4" s="8">
        <v>0.25</v>
      </c>
      <c r="J4" s="1">
        <v>45657</v>
      </c>
      <c r="K4" s="7">
        <f>K2*0.2%</f>
        <v>-19.434000000000001</v>
      </c>
    </row>
    <row r="5" spans="1:11" x14ac:dyDescent="0.25">
      <c r="A5" s="1">
        <v>46022</v>
      </c>
      <c r="B5" s="7">
        <f>-investito*0.2%</f>
        <v>-20</v>
      </c>
      <c r="C5" s="7">
        <f>-investito*0.2%</f>
        <v>-20</v>
      </c>
      <c r="D5" s="7">
        <f>-investito*0.2%</f>
        <v>-20</v>
      </c>
      <c r="E5" s="7">
        <f>-investito*0.2%</f>
        <v>-20</v>
      </c>
      <c r="F5" s="7"/>
      <c r="G5" s="15" t="s">
        <v>6</v>
      </c>
      <c r="H5" s="8">
        <v>0</v>
      </c>
      <c r="J5" s="1">
        <v>45823</v>
      </c>
      <c r="K5" s="7">
        <f>investito*2.8%/2*(1-12.5%)</f>
        <v>122.49999999999997</v>
      </c>
    </row>
    <row r="6" spans="1:11" x14ac:dyDescent="0.25">
      <c r="A6" s="1">
        <v>46194</v>
      </c>
      <c r="B6" s="7">
        <f>investito*cedola*(1-26%)</f>
        <v>333</v>
      </c>
      <c r="C6" s="7">
        <f>investito*cedola*(1-26%)+investito+investito*cedola*_xlfn.XLOOKUP(C1,$G$3:$G$6,$H$3:$H$6)*(1-26%)</f>
        <v>10499.5</v>
      </c>
      <c r="D6" s="7">
        <f>investito*cedola*(1-26%)</f>
        <v>333</v>
      </c>
      <c r="E6" s="7">
        <f>investito*cedola*(1-26%)</f>
        <v>333</v>
      </c>
      <c r="F6" s="7"/>
      <c r="G6" s="15" t="s">
        <v>17</v>
      </c>
      <c r="H6" s="18">
        <v>0.03</v>
      </c>
      <c r="J6" s="1">
        <v>46006</v>
      </c>
      <c r="K6" s="7">
        <f>investito*2.8%/2*(1-12.5%)</f>
        <v>122.49999999999997</v>
      </c>
    </row>
    <row r="7" spans="1:11" x14ac:dyDescent="0.25">
      <c r="A7" s="1">
        <v>46194</v>
      </c>
      <c r="B7" s="7">
        <v>0</v>
      </c>
      <c r="C7" s="19">
        <f>-C6</f>
        <v>-10499.5</v>
      </c>
      <c r="D7" s="7">
        <v>0</v>
      </c>
      <c r="E7" s="7">
        <v>0</v>
      </c>
      <c r="F7" s="7"/>
      <c r="G7" s="15" t="s">
        <v>18</v>
      </c>
      <c r="H7" s="18">
        <v>0.03</v>
      </c>
      <c r="J7" s="1">
        <v>46022</v>
      </c>
      <c r="K7" s="7">
        <f>-investito*0.2%</f>
        <v>-20</v>
      </c>
    </row>
    <row r="8" spans="1:11" x14ac:dyDescent="0.25">
      <c r="A8" s="1">
        <v>46387</v>
      </c>
      <c r="B8" s="7">
        <f>-investito*0.2%</f>
        <v>-20</v>
      </c>
      <c r="C8" s="20">
        <f>$C$7*0.2%</f>
        <v>-20.998999999999999</v>
      </c>
      <c r="D8" s="7">
        <f>-investito*0.2%</f>
        <v>-20</v>
      </c>
      <c r="E8" s="7">
        <f>-investito*0.2%</f>
        <v>-20</v>
      </c>
      <c r="F8" s="7"/>
      <c r="G8" s="15" t="s">
        <v>19</v>
      </c>
      <c r="H8" s="18">
        <v>0.03</v>
      </c>
      <c r="J8" s="1">
        <v>46188</v>
      </c>
      <c r="K8" s="7">
        <f>investito*2.8%/2*(1-12.5%)</f>
        <v>122.49999999999997</v>
      </c>
    </row>
    <row r="9" spans="1:11" x14ac:dyDescent="0.25">
      <c r="A9" s="1">
        <v>46559</v>
      </c>
      <c r="B9" s="7">
        <f>investito*cedola*(1-26%)</f>
        <v>333</v>
      </c>
      <c r="C9" s="20">
        <f>-$C$7*$H$6*(1-26%)</f>
        <v>233.0889</v>
      </c>
      <c r="D9" s="7">
        <f>investito*cedola*(1-26%)+investito+investito*cedola*_xlfn.XLOOKUP(D1,$G$3:$G$6,$H$3:$H$6)*(1-26%)</f>
        <v>10416.25</v>
      </c>
      <c r="E9" s="7">
        <f>investito*cedola*(1-26%)</f>
        <v>333</v>
      </c>
      <c r="F9" s="7"/>
      <c r="G9" s="15"/>
      <c r="H9" s="17"/>
      <c r="J9" s="1">
        <v>46371</v>
      </c>
      <c r="K9" s="7">
        <f>investito*2.8%/2*(1-12.5%)</f>
        <v>122.49999999999997</v>
      </c>
    </row>
    <row r="10" spans="1:11" x14ac:dyDescent="0.25">
      <c r="A10" s="1">
        <v>46559</v>
      </c>
      <c r="B10" s="7">
        <v>0</v>
      </c>
      <c r="C10" s="20">
        <v>0</v>
      </c>
      <c r="D10" s="19">
        <f>-D9</f>
        <v>-10416.25</v>
      </c>
      <c r="E10" s="7">
        <v>0</v>
      </c>
      <c r="F10" s="7"/>
      <c r="G10" s="13" t="s">
        <v>13</v>
      </c>
      <c r="J10" s="1">
        <v>46387</v>
      </c>
      <c r="K10" s="7">
        <f>-investito*0.2%</f>
        <v>-20</v>
      </c>
    </row>
    <row r="11" spans="1:11" x14ac:dyDescent="0.25">
      <c r="A11" s="1">
        <v>46752</v>
      </c>
      <c r="B11" s="7">
        <f>-investito*0.2%</f>
        <v>-20</v>
      </c>
      <c r="C11" s="20">
        <f>$C$7*0.2%</f>
        <v>-20.998999999999999</v>
      </c>
      <c r="D11" s="20">
        <f>$D$10*0.2%</f>
        <v>-20.8325</v>
      </c>
      <c r="E11" s="7">
        <f>-investito*0.2%</f>
        <v>-20</v>
      </c>
      <c r="F11" s="7"/>
      <c r="G11" t="s">
        <v>14</v>
      </c>
      <c r="J11" s="1">
        <v>46553</v>
      </c>
      <c r="K11" s="7">
        <f>investito*2.8%/2*(1-12.5%)</f>
        <v>122.49999999999997</v>
      </c>
    </row>
    <row r="12" spans="1:11" x14ac:dyDescent="0.25">
      <c r="A12" s="1">
        <v>46925</v>
      </c>
      <c r="B12" s="7">
        <f>investito*cedola*(1-26%)</f>
        <v>333</v>
      </c>
      <c r="C12" s="20">
        <f>-$C$7*$H$6*(1-26%)</f>
        <v>233.0889</v>
      </c>
      <c r="D12" s="20">
        <f>-$D$10*$H$7*(1-26%)</f>
        <v>231.24075000000002</v>
      </c>
      <c r="E12" s="7">
        <f>investito*cedola*(1-26%)+investito+investito*cedola*_xlfn.XLOOKUP(E1,$G$3:$G$6,$H$3:$H$6)*(1-26%)</f>
        <v>10333</v>
      </c>
      <c r="F12" s="7"/>
      <c r="G12" s="13"/>
      <c r="J12" s="1">
        <v>46736</v>
      </c>
      <c r="K12" s="7">
        <f>investito*2.8%/2*(1-12.5%)</f>
        <v>122.49999999999997</v>
      </c>
    </row>
    <row r="13" spans="1:11" x14ac:dyDescent="0.25">
      <c r="A13" s="1">
        <v>46925</v>
      </c>
      <c r="B13" s="7">
        <v>0</v>
      </c>
      <c r="C13" s="20">
        <v>0</v>
      </c>
      <c r="D13" s="20">
        <v>0</v>
      </c>
      <c r="E13" s="19">
        <f>-E12</f>
        <v>-10333</v>
      </c>
      <c r="J13" s="1">
        <v>46752</v>
      </c>
      <c r="K13" s="7">
        <f>-investito*0.2%</f>
        <v>-20</v>
      </c>
    </row>
    <row r="14" spans="1:11" x14ac:dyDescent="0.25">
      <c r="A14" s="1">
        <v>47118</v>
      </c>
      <c r="B14" s="7">
        <f>-investito*0.2%</f>
        <v>-20</v>
      </c>
      <c r="C14" s="20">
        <f>$C$7*0.2%</f>
        <v>-20.998999999999999</v>
      </c>
      <c r="D14" s="20">
        <f>$D$10*0.2%</f>
        <v>-20.8325</v>
      </c>
      <c r="E14" s="20">
        <f>$E$13*0.2%</f>
        <v>-20.666</v>
      </c>
      <c r="J14" s="1">
        <v>46919</v>
      </c>
      <c r="K14" s="7">
        <f>investito*2.8%/2*(1-12.5%)</f>
        <v>122.49999999999997</v>
      </c>
    </row>
    <row r="15" spans="1:11" x14ac:dyDescent="0.25">
      <c r="A15" s="1">
        <v>47290</v>
      </c>
      <c r="B15" s="7">
        <f>investito*cedola*(1-26%)+investito</f>
        <v>10333</v>
      </c>
      <c r="C15" s="21">
        <f>-$C$7*$H$6*(1-26%)-C7</f>
        <v>10732.588900000001</v>
      </c>
      <c r="D15" s="21">
        <f>-$D$10*$H$7*(1-26%)-D10</f>
        <v>10647.490750000001</v>
      </c>
      <c r="E15" s="21">
        <f>-E13*H8*(1-26%)-E13</f>
        <v>10562.392599999999</v>
      </c>
      <c r="J15" s="1">
        <v>47102</v>
      </c>
      <c r="K15" s="7">
        <f>investito*2.8%/2*(1-12.5%)</f>
        <v>122.49999999999997</v>
      </c>
    </row>
    <row r="16" spans="1:11" x14ac:dyDescent="0.25">
      <c r="A16" s="1"/>
      <c r="B16" s="7">
        <v>0</v>
      </c>
      <c r="C16" s="7">
        <v>0</v>
      </c>
      <c r="D16" s="7">
        <v>0</v>
      </c>
      <c r="E16" s="7">
        <v>0</v>
      </c>
      <c r="F16" s="7"/>
      <c r="J16" s="1">
        <v>47118</v>
      </c>
      <c r="K16" s="7">
        <f>-investito*0.2%</f>
        <v>-20</v>
      </c>
    </row>
    <row r="17" spans="1:11" x14ac:dyDescent="0.25">
      <c r="A17" s="1"/>
      <c r="B17" s="7">
        <v>0</v>
      </c>
      <c r="C17" s="7">
        <v>0</v>
      </c>
      <c r="D17" s="7">
        <v>0</v>
      </c>
      <c r="E17" s="7">
        <v>0</v>
      </c>
      <c r="J17" s="1">
        <v>47284</v>
      </c>
      <c r="K17" s="7">
        <f>investito*2.8%/2*(1-12.5%)+investito</f>
        <v>10122.5</v>
      </c>
    </row>
    <row r="18" spans="1:11" x14ac:dyDescent="0.25">
      <c r="A18" s="4" t="s">
        <v>7</v>
      </c>
      <c r="B18" s="9">
        <f>XIRR(B2:B15,$A$2:$A$15)</f>
        <v>3.10522586107254E-2</v>
      </c>
      <c r="C18" s="9">
        <f>XIRR(C2:C15,$A$2:$A$15)</f>
        <v>2.7800169587135316E-2</v>
      </c>
      <c r="D18" s="9">
        <f>XIRR(D2:D15,$A$2:$A$15)</f>
        <v>2.8353008627891543E-2</v>
      </c>
      <c r="E18" s="9">
        <f>XIRR(E2:E15,$A$2:$A$15)</f>
        <v>2.8920057415962219E-2</v>
      </c>
      <c r="J18" s="1"/>
      <c r="K18" s="7">
        <v>0</v>
      </c>
    </row>
    <row r="19" spans="1:11" x14ac:dyDescent="0.25">
      <c r="A19" s="16" t="s">
        <v>8</v>
      </c>
      <c r="B19" s="10">
        <f>SUM(B2:B15)</f>
        <v>1565</v>
      </c>
      <c r="C19" s="10">
        <f>SUM(C2:C15)</f>
        <v>1428.7697000000026</v>
      </c>
      <c r="D19" s="10">
        <f>SUM(D2:D15)</f>
        <v>1443.0665000000008</v>
      </c>
      <c r="E19" s="10">
        <f>SUM(E2:E15)</f>
        <v>1460.7266</v>
      </c>
      <c r="G19" s="15" t="s">
        <v>12</v>
      </c>
      <c r="H19" s="8">
        <v>3.5000000000000003E-2</v>
      </c>
      <c r="J19" t="s">
        <v>16</v>
      </c>
      <c r="K19" t="s">
        <v>15</v>
      </c>
    </row>
    <row r="20" spans="1:11" x14ac:dyDescent="0.25">
      <c r="A20" s="16" t="s">
        <v>9</v>
      </c>
      <c r="B20" s="11">
        <f t="shared" ref="B20" si="1">B19/investito</f>
        <v>0.1565</v>
      </c>
      <c r="C20" s="11">
        <f t="shared" ref="C20:E20" si="2">C19/investito</f>
        <v>0.14287697000000027</v>
      </c>
      <c r="D20" s="11">
        <f t="shared" si="2"/>
        <v>0.14430665000000009</v>
      </c>
      <c r="E20" s="11">
        <f t="shared" si="2"/>
        <v>0.14607265999999999</v>
      </c>
      <c r="J20" s="4" t="s">
        <v>7</v>
      </c>
      <c r="K20" s="9">
        <f>XIRR(K2:K17,J2:J17)</f>
        <v>2.880395948886871E-2</v>
      </c>
    </row>
    <row r="21" spans="1:11" x14ac:dyDescent="0.25">
      <c r="A21" s="16" t="s">
        <v>10</v>
      </c>
      <c r="B21" s="12" cm="1">
        <f t="array" ref="B21">(B20+1)^(365/(INDEX($A2:$A16,MATCH(0,B2:B16,0)-1)-$A$2))-1</f>
        <v>7.4246942407526051E-2</v>
      </c>
      <c r="C21" s="12" cm="1">
        <f t="array" ref="C21">(C20+1)^(365/(INDEX($A2:$A16,MATCH(0,C2:C16,0)-1)-$A$2))-1</f>
        <v>4.5059163485970943E-2</v>
      </c>
      <c r="D21" s="12" cm="1">
        <f t="array" ref="D21">(D20+1)^(365/(INDEX($A2:$A16,MATCH(0,D2:D16,0)-1)-$A$2))-1</f>
        <v>6.8652941490241703E-2</v>
      </c>
      <c r="E21" s="12" cm="1">
        <f t="array" ref="E21">(E20+1)^(365/(INDEX($A2:$A16,MATCH(0,E2:E16,0)-1)-$A$2))-1</f>
        <v>6.9465008986616672E-2</v>
      </c>
      <c r="J21" s="16" t="s">
        <v>8</v>
      </c>
      <c r="K21" s="10">
        <f>SUM(K2:K17)</f>
        <v>1408.5660000000007</v>
      </c>
    </row>
    <row r="22" spans="1:11" x14ac:dyDescent="0.25">
      <c r="A22" s="4" t="s">
        <v>11</v>
      </c>
      <c r="B22" s="14">
        <f>XNPV($H19,B2:B15,$A$2:$A$15)</f>
        <v>-179.56510051869736</v>
      </c>
      <c r="C22" s="14">
        <f>XNPV($H19,C2:C15,$A$2:$A$15)</f>
        <v>-333.68087385477338</v>
      </c>
      <c r="D22" s="14">
        <f>XNPV($H19,D2:D15,$A$2:$A$15)</f>
        <v>-305.13256763720346</v>
      </c>
      <c r="E22" s="14">
        <f>XNPV($H19,E2:E15,$A$2:$A$15)</f>
        <v>-277.07252326044363</v>
      </c>
      <c r="J22" s="16" t="s">
        <v>9</v>
      </c>
      <c r="K22" s="11">
        <f>K21/-K2</f>
        <v>0.1449589379438099</v>
      </c>
    </row>
    <row r="23" spans="1:11" x14ac:dyDescent="0.25">
      <c r="J23" s="16" t="s">
        <v>10</v>
      </c>
      <c r="K23" s="12" cm="1">
        <f t="array" ref="K23">(K22+1)^(365/(INDEX(J2:J18,MATCH(0,K2:K18,0)-1)-$A$2))-1</f>
        <v>2.7352430303619446E-2</v>
      </c>
    </row>
    <row r="24" spans="1:11" x14ac:dyDescent="0.25">
      <c r="J24" s="4" t="s">
        <v>11</v>
      </c>
      <c r="K24" s="14">
        <f>XNPV($H19,K2:K17,J2:J17)</f>
        <v>-273.50218569190474</v>
      </c>
    </row>
  </sheetData>
  <conditionalFormatting sqref="B2:F2 K2:K19 F3:F12 B3:E17 F16">
    <cfRule type="cellIs" dxfId="0" priority="1" operator="equal">
      <formula>0</formula>
    </cfRule>
  </conditionalFormatting>
  <pageMargins left="0.7" right="0.7" top="0.75" bottom="0.75" header="0.3" footer="0.3"/>
  <ignoredErrors>
    <ignoredError sqref="B12 K4:K13 B4:E6 B9 B8 C8:E8 B11 E11 D9:E9 E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55F6533957E4DB6DE4C9233A2627D" ma:contentTypeVersion="15" ma:contentTypeDescription="Create a new document." ma:contentTypeScope="" ma:versionID="f8811c38109d56f69b3cf80e76e724a3">
  <xsd:schema xmlns:xsd="http://www.w3.org/2001/XMLSchema" xmlns:xs="http://www.w3.org/2001/XMLSchema" xmlns:p="http://schemas.microsoft.com/office/2006/metadata/properties" xmlns:ns3="0fe1f3e0-650a-4a78-921a-4926ce266b37" xmlns:ns4="c89994c1-4b93-4fa0-854d-5766c25d84a0" targetNamespace="http://schemas.microsoft.com/office/2006/metadata/properties" ma:root="true" ma:fieldsID="1c2989aeaf1c9687649e5708c0409457" ns3:_="" ns4:_="">
    <xsd:import namespace="0fe1f3e0-650a-4a78-921a-4926ce266b37"/>
    <xsd:import namespace="c89994c1-4b93-4fa0-854d-5766c25d84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1f3e0-650a-4a78-921a-4926ce266b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94c1-4b93-4fa0-854d-5766c25d84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89994c1-4b93-4fa0-854d-5766c25d84a0" xsi:nil="true"/>
  </documentManagement>
</p:properties>
</file>

<file path=customXml/itemProps1.xml><?xml version="1.0" encoding="utf-8"?>
<ds:datastoreItem xmlns:ds="http://schemas.openxmlformats.org/officeDocument/2006/customXml" ds:itemID="{B9143CCE-A527-4E66-9C36-AB9ECC1C9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ADEC5-82CF-4337-87FB-8E8E23A06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1f3e0-650a-4a78-921a-4926ce266b37"/>
    <ds:schemaRef ds:uri="c89994c1-4b93-4fa0-854d-5766c25d8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79605C-568B-4DFE-9BB8-822357B54240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c89994c1-4b93-4fa0-854d-5766c25d84a0"/>
    <ds:schemaRef ds:uri="http://schemas.microsoft.com/office/infopath/2007/PartnerControls"/>
    <ds:schemaRef ds:uri="http://schemas.openxmlformats.org/package/2006/metadata/core-properties"/>
    <ds:schemaRef ds:uri="0fe1f3e0-650a-4a78-921a-4926ce266b3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Lordo</vt:lpstr>
      <vt:lpstr>Netto</vt:lpstr>
      <vt:lpstr>Netto con cambio</vt:lpstr>
      <vt:lpstr>Netto!cedola</vt:lpstr>
      <vt:lpstr>'Netto con cambio'!cedola</vt:lpstr>
      <vt:lpstr>cedola</vt:lpstr>
      <vt:lpstr>Netto!investito</vt:lpstr>
      <vt:lpstr>'Netto con cambio'!investito</vt:lpstr>
      <vt:lpstr>investito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Coletti Paolo</cp:lastModifiedBy>
  <dcterms:created xsi:type="dcterms:W3CDTF">2023-10-21T08:43:31Z</dcterms:created>
  <dcterms:modified xsi:type="dcterms:W3CDTF">2024-06-07T08:19:13Z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0x010100BE155F6533957E4DB6DE4C9233A2627D</vt:lpwstr>
  </property>
</Properties>
</file>